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less\OneDrive\Desktop\compressi\"/>
    </mc:Choice>
  </mc:AlternateContent>
  <xr:revisionPtr revIDLastSave="0" documentId="8_{AC8F1FE8-3B84-43BB-BA32-7EEB50179A69}" xr6:coauthVersionLast="47" xr6:coauthVersionMax="47" xr10:uidLastSave="{00000000-0000-0000-0000-000000000000}"/>
  <bookViews>
    <workbookView xWindow="-108" yWindow="-108" windowWidth="23256" windowHeight="12456" tabRatio="809" firstSheet="3" activeTab="9" xr2:uid="{A9B6CA2E-42C5-4108-811E-4FDD8099EB7B}"/>
  </bookViews>
  <sheets>
    <sheet name="Finished goods" sheetId="3" r:id="rId1"/>
    <sheet name="Ammortamenti" sheetId="7" r:id="rId2"/>
    <sheet name="COST DATA" sheetId="6" r:id="rId3"/>
    <sheet name="REVENUE DATA" sheetId="9" r:id="rId4"/>
    <sheet name="BUSINESS TO BUSINESS" sheetId="1" r:id="rId5"/>
    <sheet name="Project Ostelliere" sheetId="2" r:id="rId6"/>
    <sheet name="Project Orto" sheetId="4" r:id="rId7"/>
    <sheet name="Project La Gallina" sheetId="5" r:id="rId8"/>
    <sheet name="PRIVATE CUSTOMER (BtoC)" sheetId="11" r:id="rId9"/>
    <sheet name="INCOME STATEMENT" sheetId="10" r:id="rId10"/>
    <sheet name="NPV" sheetId="12" r:id="rId11"/>
  </sheets>
  <definedNames>
    <definedName name="_xlnm._FilterDatabase" localSheetId="4" hidden="1">'BUSINESS TO BUSINESS'!$B$4:$AI$4</definedName>
    <definedName name="_xlnm._FilterDatabase" localSheetId="0" hidden="1">'Finished goods'!$A$4:$Q$4</definedName>
    <definedName name="_xlnm._FilterDatabase" localSheetId="8" hidden="1">'PRIVATE CUSTOMER (BtoC)'!$B$4:$AI$4</definedName>
    <definedName name="_xlnm._FilterDatabase" localSheetId="7" hidden="1">'Project La Gallina'!$B$4:$AC$4</definedName>
    <definedName name="_xlnm._FilterDatabase" localSheetId="6" hidden="1">'Project Orto'!$B$4:$AC$4</definedName>
    <definedName name="_xlnm._FilterDatabase" localSheetId="5" hidden="1">'Project Ostelliere'!$A$4:$AC$4</definedName>
    <definedName name="_xlnm._FilterDatabase" localSheetId="3" hidden="1">'REVENUE DATA'!$B$32:$O$32</definedName>
    <definedName name="_xlnm.Print_Area" localSheetId="9">'INCOME STATEMENT'!$B$3:$C$157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7" i="2" l="1"/>
  <c r="AB186" i="2"/>
  <c r="AB181" i="2"/>
  <c r="AB171" i="2"/>
  <c r="AB170" i="2"/>
  <c r="AB165" i="2"/>
  <c r="AB155" i="2"/>
  <c r="AB154" i="2"/>
  <c r="AB149" i="2"/>
  <c r="AB139" i="2"/>
  <c r="AB138" i="2"/>
  <c r="AB133" i="2"/>
  <c r="AB123" i="2"/>
  <c r="AB122" i="2"/>
  <c r="AB117" i="2"/>
  <c r="AB107" i="2"/>
  <c r="AB106" i="2"/>
  <c r="AB101" i="2"/>
  <c r="AB91" i="2"/>
  <c r="AB90" i="2"/>
  <c r="AB85" i="2"/>
  <c r="AB75" i="2"/>
  <c r="AB74" i="2"/>
  <c r="AB69" i="2"/>
  <c r="AB59" i="2"/>
  <c r="AB58" i="2"/>
  <c r="AB53" i="2"/>
  <c r="AB43" i="2"/>
  <c r="AB42" i="2"/>
  <c r="AB37" i="2"/>
  <c r="AB26" i="2"/>
  <c r="AB27" i="2"/>
  <c r="AB21" i="2"/>
  <c r="H6" i="9" l="1"/>
  <c r="H7" i="9"/>
  <c r="H8" i="9"/>
  <c r="H9" i="9"/>
  <c r="H10" i="9"/>
  <c r="H11" i="9"/>
  <c r="H12" i="9"/>
  <c r="H13" i="9"/>
  <c r="H14" i="9"/>
  <c r="H15" i="9"/>
  <c r="Y7" i="10" s="1"/>
  <c r="H16" i="9"/>
  <c r="B27" i="12"/>
  <c r="D22" i="12"/>
  <c r="C22" i="12"/>
  <c r="E3" i="12"/>
  <c r="D3" i="12" s="1"/>
  <c r="AA123" i="10"/>
  <c r="Y123" i="10"/>
  <c r="W123" i="10"/>
  <c r="U123" i="10"/>
  <c r="S123" i="10"/>
  <c r="Q123" i="10"/>
  <c r="O123" i="10"/>
  <c r="M123" i="10"/>
  <c r="K123" i="10"/>
  <c r="I123" i="10"/>
  <c r="G123" i="10"/>
  <c r="E123" i="10"/>
  <c r="J70" i="6"/>
  <c r="K119" i="6"/>
  <c r="F22" i="12" s="1"/>
  <c r="K107" i="6"/>
  <c r="E22" i="12" s="1"/>
  <c r="L95" i="6"/>
  <c r="D23" i="12" s="1"/>
  <c r="K95" i="6"/>
  <c r="K83" i="6"/>
  <c r="I117" i="6"/>
  <c r="G73" i="6"/>
  <c r="I73" i="6" s="1"/>
  <c r="G74" i="6"/>
  <c r="I74" i="6" s="1"/>
  <c r="G75" i="6"/>
  <c r="I75" i="6" s="1"/>
  <c r="G76" i="6"/>
  <c r="I76" i="6" s="1"/>
  <c r="G77" i="6"/>
  <c r="I77" i="6" s="1"/>
  <c r="G78" i="6"/>
  <c r="I78" i="6" s="1"/>
  <c r="G79" i="6"/>
  <c r="I79" i="6" s="1"/>
  <c r="G80" i="6"/>
  <c r="I80" i="6" s="1"/>
  <c r="G81" i="6"/>
  <c r="I81" i="6" s="1"/>
  <c r="G82" i="6"/>
  <c r="I82" i="6" s="1"/>
  <c r="G83" i="6"/>
  <c r="I83" i="6" s="1"/>
  <c r="G84" i="6"/>
  <c r="I84" i="6" s="1"/>
  <c r="G85" i="6"/>
  <c r="I85" i="6" s="1"/>
  <c r="G86" i="6"/>
  <c r="I86" i="6" s="1"/>
  <c r="G87" i="6"/>
  <c r="I87" i="6" s="1"/>
  <c r="G88" i="6"/>
  <c r="I88" i="6" s="1"/>
  <c r="G89" i="6"/>
  <c r="I89" i="6" s="1"/>
  <c r="G90" i="6"/>
  <c r="I90" i="6" s="1"/>
  <c r="G91" i="6"/>
  <c r="I91" i="6" s="1"/>
  <c r="G92" i="6"/>
  <c r="I92" i="6" s="1"/>
  <c r="G93" i="6"/>
  <c r="I93" i="6" s="1"/>
  <c r="G94" i="6"/>
  <c r="I94" i="6" s="1"/>
  <c r="G95" i="6"/>
  <c r="I95" i="6" s="1"/>
  <c r="G96" i="6"/>
  <c r="I96" i="6" s="1"/>
  <c r="G97" i="6"/>
  <c r="I97" i="6" s="1"/>
  <c r="G98" i="6"/>
  <c r="I98" i="6" s="1"/>
  <c r="G99" i="6"/>
  <c r="I99" i="6" s="1"/>
  <c r="G100" i="6"/>
  <c r="I100" i="6" s="1"/>
  <c r="G101" i="6"/>
  <c r="I101" i="6" s="1"/>
  <c r="G102" i="6"/>
  <c r="I102" i="6" s="1"/>
  <c r="G103" i="6"/>
  <c r="I103" i="6" s="1"/>
  <c r="G104" i="6"/>
  <c r="I104" i="6" s="1"/>
  <c r="G105" i="6"/>
  <c r="I105" i="6" s="1"/>
  <c r="G106" i="6"/>
  <c r="I106" i="6" s="1"/>
  <c r="G107" i="6"/>
  <c r="I107" i="6" s="1"/>
  <c r="G108" i="6"/>
  <c r="I108" i="6" s="1"/>
  <c r="G109" i="6"/>
  <c r="I109" i="6" s="1"/>
  <c r="G110" i="6"/>
  <c r="I110" i="6" s="1"/>
  <c r="G111" i="6"/>
  <c r="I111" i="6" s="1"/>
  <c r="G112" i="6"/>
  <c r="I112" i="6" s="1"/>
  <c r="G113" i="6"/>
  <c r="I113" i="6" s="1"/>
  <c r="G114" i="6"/>
  <c r="I114" i="6" s="1"/>
  <c r="G115" i="6"/>
  <c r="I115" i="6" s="1"/>
  <c r="G116" i="6"/>
  <c r="I116" i="6" s="1"/>
  <c r="G117" i="6"/>
  <c r="G118" i="6"/>
  <c r="I118" i="6" s="1"/>
  <c r="G119" i="6"/>
  <c r="I119" i="6" s="1"/>
  <c r="G72" i="6"/>
  <c r="I72" i="6" s="1"/>
  <c r="C3" i="12"/>
  <c r="B3" i="12"/>
  <c r="L208" i="11"/>
  <c r="K179" i="11"/>
  <c r="K208" i="11" s="1"/>
  <c r="L179" i="11"/>
  <c r="M179" i="11"/>
  <c r="M208" i="11" s="1"/>
  <c r="N179" i="11"/>
  <c r="N208" i="11" s="1"/>
  <c r="O179" i="11"/>
  <c r="O208" i="11" s="1"/>
  <c r="P179" i="11"/>
  <c r="P208" i="11" s="1"/>
  <c r="Q179" i="11"/>
  <c r="Q208" i="11" s="1"/>
  <c r="AB346" i="11"/>
  <c r="AB345" i="11"/>
  <c r="AB344" i="11"/>
  <c r="AB343" i="11"/>
  <c r="AB342" i="11"/>
  <c r="AB341" i="11"/>
  <c r="AB340" i="11"/>
  <c r="AB339" i="11"/>
  <c r="AB338" i="11"/>
  <c r="AB337" i="11"/>
  <c r="AB336" i="11"/>
  <c r="AB335" i="11"/>
  <c r="AB334" i="11"/>
  <c r="AB333" i="11"/>
  <c r="AB332" i="11"/>
  <c r="AB331" i="11"/>
  <c r="AB328" i="11"/>
  <c r="AB327" i="11"/>
  <c r="AB326" i="11"/>
  <c r="AB325" i="11"/>
  <c r="AB317" i="11"/>
  <c r="AB316" i="11"/>
  <c r="AB315" i="11"/>
  <c r="AB314" i="11"/>
  <c r="AB313" i="11"/>
  <c r="AB312" i="11"/>
  <c r="AB311" i="11"/>
  <c r="AB310" i="11"/>
  <c r="AB309" i="11"/>
  <c r="AB308" i="11"/>
  <c r="AB307" i="11"/>
  <c r="AB306" i="11"/>
  <c r="AB305" i="11"/>
  <c r="AB304" i="11"/>
  <c r="AB303" i="11"/>
  <c r="AB302" i="11"/>
  <c r="AB299" i="11"/>
  <c r="AB298" i="11"/>
  <c r="AB297" i="11"/>
  <c r="AB296" i="11"/>
  <c r="AB288" i="11"/>
  <c r="AB287" i="11"/>
  <c r="AB286" i="11"/>
  <c r="AB285" i="11"/>
  <c r="AB284" i="11"/>
  <c r="AB283" i="11"/>
  <c r="AB282" i="11"/>
  <c r="AB281" i="11"/>
  <c r="AB280" i="11"/>
  <c r="AB279" i="11"/>
  <c r="AB278" i="11"/>
  <c r="AB277" i="11"/>
  <c r="AB276" i="11"/>
  <c r="AB275" i="11"/>
  <c r="AB274" i="11"/>
  <c r="AB273" i="11"/>
  <c r="AB270" i="11"/>
  <c r="AB269" i="11"/>
  <c r="AB268" i="11"/>
  <c r="AB267" i="11"/>
  <c r="AB259" i="11"/>
  <c r="AB258" i="11"/>
  <c r="AB257" i="11"/>
  <c r="AB256" i="11"/>
  <c r="AB255" i="11"/>
  <c r="AB254" i="11"/>
  <c r="AB253" i="11"/>
  <c r="AB252" i="11"/>
  <c r="AB251" i="11"/>
  <c r="AB250" i="11"/>
  <c r="AB249" i="11"/>
  <c r="AB248" i="11"/>
  <c r="AB247" i="11"/>
  <c r="AB246" i="11"/>
  <c r="AB245" i="11"/>
  <c r="AB244" i="11"/>
  <c r="AB241" i="11"/>
  <c r="AB240" i="11"/>
  <c r="AB239" i="11"/>
  <c r="AB238" i="11"/>
  <c r="AB230" i="11"/>
  <c r="AB229" i="11"/>
  <c r="AB228" i="11"/>
  <c r="AB227" i="11"/>
  <c r="AB226" i="11"/>
  <c r="AB225" i="11"/>
  <c r="AB224" i="11"/>
  <c r="AB223" i="11"/>
  <c r="AB222" i="11"/>
  <c r="AB221" i="11"/>
  <c r="AB220" i="11"/>
  <c r="AB219" i="11"/>
  <c r="AB218" i="11"/>
  <c r="AB217" i="11"/>
  <c r="AB216" i="11"/>
  <c r="AB215" i="11"/>
  <c r="AB212" i="11"/>
  <c r="AB211" i="11"/>
  <c r="AB210" i="11"/>
  <c r="AB209" i="11"/>
  <c r="AB201" i="11"/>
  <c r="AB200" i="11"/>
  <c r="AB199" i="11"/>
  <c r="AB198" i="11"/>
  <c r="AB197" i="11"/>
  <c r="AB196" i="11"/>
  <c r="AB195" i="11"/>
  <c r="AB194" i="11"/>
  <c r="AB193" i="11"/>
  <c r="AB192" i="11"/>
  <c r="AB191" i="11"/>
  <c r="AB190" i="11"/>
  <c r="AB189" i="11"/>
  <c r="AB188" i="11"/>
  <c r="AB187" i="11"/>
  <c r="AB186" i="11"/>
  <c r="AB183" i="11"/>
  <c r="AB182" i="11"/>
  <c r="AB181" i="11"/>
  <c r="AB180" i="11"/>
  <c r="AB172" i="11"/>
  <c r="AB171" i="11"/>
  <c r="AB170" i="11"/>
  <c r="AB169" i="11"/>
  <c r="AB168" i="11"/>
  <c r="AB167" i="11"/>
  <c r="AB166" i="11"/>
  <c r="AB165" i="11"/>
  <c r="AB164" i="11"/>
  <c r="AB163" i="11"/>
  <c r="AB162" i="11"/>
  <c r="AB161" i="11"/>
  <c r="AB160" i="11"/>
  <c r="AB159" i="11"/>
  <c r="AB158" i="11"/>
  <c r="AB157" i="11"/>
  <c r="AB154" i="11"/>
  <c r="AB153" i="11"/>
  <c r="AB152" i="11"/>
  <c r="AB151" i="11"/>
  <c r="AB143" i="11"/>
  <c r="AB142" i="11"/>
  <c r="AB141" i="11"/>
  <c r="AB140" i="11"/>
  <c r="AB139" i="11"/>
  <c r="AB138" i="11"/>
  <c r="AB137" i="11"/>
  <c r="AB136" i="11"/>
  <c r="AB135" i="11"/>
  <c r="AB134" i="11"/>
  <c r="AB133" i="11"/>
  <c r="AB132" i="11"/>
  <c r="AB131" i="11"/>
  <c r="AB130" i="11"/>
  <c r="AB129" i="11"/>
  <c r="AB128" i="11"/>
  <c r="AB125" i="11"/>
  <c r="AB124" i="11"/>
  <c r="AB123" i="11"/>
  <c r="AB122" i="11"/>
  <c r="AB114" i="11"/>
  <c r="AB113" i="11"/>
  <c r="AB112" i="11"/>
  <c r="AB111" i="11"/>
  <c r="AB110" i="11"/>
  <c r="AB109" i="11"/>
  <c r="AB108" i="11"/>
  <c r="AB107" i="11"/>
  <c r="AB106" i="11"/>
  <c r="AB105" i="11"/>
  <c r="AB104" i="11"/>
  <c r="AB103" i="11"/>
  <c r="AB102" i="11"/>
  <c r="AB101" i="11"/>
  <c r="AB100" i="11"/>
  <c r="AB99" i="11"/>
  <c r="AB96" i="11"/>
  <c r="AB95" i="11"/>
  <c r="AB94" i="11"/>
  <c r="AB93" i="11"/>
  <c r="AB85" i="11"/>
  <c r="AB84" i="11"/>
  <c r="AB83" i="11"/>
  <c r="AB82" i="11"/>
  <c r="AB81" i="11"/>
  <c r="AB80" i="11"/>
  <c r="AB79" i="11"/>
  <c r="AB78" i="11"/>
  <c r="AB77" i="11"/>
  <c r="AB76" i="11"/>
  <c r="AB75" i="11"/>
  <c r="AB74" i="11"/>
  <c r="AB73" i="11"/>
  <c r="AB72" i="11"/>
  <c r="AB71" i="11"/>
  <c r="AB70" i="11"/>
  <c r="AB67" i="11"/>
  <c r="AB66" i="11"/>
  <c r="AB65" i="11"/>
  <c r="AB64" i="11"/>
  <c r="AE346" i="11"/>
  <c r="AE345" i="11"/>
  <c r="AE344" i="11"/>
  <c r="AE343" i="11"/>
  <c r="AE342" i="11"/>
  <c r="AE341" i="11"/>
  <c r="AE340" i="11"/>
  <c r="AE339" i="11"/>
  <c r="AE338" i="11"/>
  <c r="AE337" i="11"/>
  <c r="AE336" i="11"/>
  <c r="AE335" i="11"/>
  <c r="AE334" i="11"/>
  <c r="AE333" i="11"/>
  <c r="AE332" i="11"/>
  <c r="AE331" i="11"/>
  <c r="AE330" i="11"/>
  <c r="AE329" i="11"/>
  <c r="AE328" i="11"/>
  <c r="AE327" i="11"/>
  <c r="AE326" i="11"/>
  <c r="AE325" i="11"/>
  <c r="AE324" i="11"/>
  <c r="AE317" i="11"/>
  <c r="AE316" i="11"/>
  <c r="AE315" i="11"/>
  <c r="AE314" i="11"/>
  <c r="AE313" i="11"/>
  <c r="AE312" i="11"/>
  <c r="AE311" i="11"/>
  <c r="AE310" i="11"/>
  <c r="AE309" i="11"/>
  <c r="AE308" i="11"/>
  <c r="AE307" i="11"/>
  <c r="AE306" i="11"/>
  <c r="AE305" i="11"/>
  <c r="AE304" i="11"/>
  <c r="AE303" i="11"/>
  <c r="AE302" i="11"/>
  <c r="AE301" i="11"/>
  <c r="AE300" i="11"/>
  <c r="AE299" i="11"/>
  <c r="AE298" i="11"/>
  <c r="AE297" i="11"/>
  <c r="AE296" i="11"/>
  <c r="AE295" i="11"/>
  <c r="AE288" i="11"/>
  <c r="AE287" i="11"/>
  <c r="AE286" i="11"/>
  <c r="AE285" i="11"/>
  <c r="AE284" i="11"/>
  <c r="AE283" i="11"/>
  <c r="AE282" i="11"/>
  <c r="AE281" i="11"/>
  <c r="AE280" i="11"/>
  <c r="AE279" i="11"/>
  <c r="AE278" i="11"/>
  <c r="AE277" i="11"/>
  <c r="AE276" i="11"/>
  <c r="AE275" i="11"/>
  <c r="AE274" i="11"/>
  <c r="AE273" i="11"/>
  <c r="AE272" i="11"/>
  <c r="AE271" i="11"/>
  <c r="AE270" i="11"/>
  <c r="AE269" i="11"/>
  <c r="AE268" i="11"/>
  <c r="AE267" i="11"/>
  <c r="AE266" i="11"/>
  <c r="AE259" i="11"/>
  <c r="AE258" i="11"/>
  <c r="AE257" i="11"/>
  <c r="AE256" i="11"/>
  <c r="AE255" i="11"/>
  <c r="AE254" i="11"/>
  <c r="AE253" i="11"/>
  <c r="AE252" i="11"/>
  <c r="AE251" i="11"/>
  <c r="AE250" i="11"/>
  <c r="AE249" i="11"/>
  <c r="AE248" i="11"/>
  <c r="AE247" i="11"/>
  <c r="AE246" i="11"/>
  <c r="AE245" i="11"/>
  <c r="AE244" i="11"/>
  <c r="AE243" i="11"/>
  <c r="AE242" i="11"/>
  <c r="AE241" i="11"/>
  <c r="AE240" i="11"/>
  <c r="AE239" i="11"/>
  <c r="AE238" i="11"/>
  <c r="AE237" i="11"/>
  <c r="AE230" i="11"/>
  <c r="AE229" i="11"/>
  <c r="AE228" i="11"/>
  <c r="AE227" i="11"/>
  <c r="AE226" i="11"/>
  <c r="AE225" i="11"/>
  <c r="AE224" i="11"/>
  <c r="AE223" i="11"/>
  <c r="AE222" i="11"/>
  <c r="AE221" i="11"/>
  <c r="AE220" i="11"/>
  <c r="AE219" i="11"/>
  <c r="AE218" i="11"/>
  <c r="AE217" i="11"/>
  <c r="AE216" i="11"/>
  <c r="AE215" i="11"/>
  <c r="AE214" i="11"/>
  <c r="AE213" i="11"/>
  <c r="AE212" i="11"/>
  <c r="AE211" i="11"/>
  <c r="AE210" i="11"/>
  <c r="AE209" i="11"/>
  <c r="AE208" i="11"/>
  <c r="AE201" i="11"/>
  <c r="AE200" i="11"/>
  <c r="AE199" i="11"/>
  <c r="AE198" i="11"/>
  <c r="AE197" i="11"/>
  <c r="AE196" i="11"/>
  <c r="AE195" i="11"/>
  <c r="AE194" i="11"/>
  <c r="AE193" i="11"/>
  <c r="AE192" i="11"/>
  <c r="AE191" i="11"/>
  <c r="AE190" i="11"/>
  <c r="AE189" i="11"/>
  <c r="AE188" i="11"/>
  <c r="AE187" i="11"/>
  <c r="AE186" i="11"/>
  <c r="AE185" i="11"/>
  <c r="AE184" i="11"/>
  <c r="AE183" i="11"/>
  <c r="AE182" i="11"/>
  <c r="AE181" i="11"/>
  <c r="AE180" i="11"/>
  <c r="AE179" i="11"/>
  <c r="AE172" i="11"/>
  <c r="AE171" i="11"/>
  <c r="AE170" i="11"/>
  <c r="AE169" i="11"/>
  <c r="AE168" i="11"/>
  <c r="AE167" i="11"/>
  <c r="AE166" i="11"/>
  <c r="AE165" i="11"/>
  <c r="AE164" i="11"/>
  <c r="AE163" i="11"/>
  <c r="AE162" i="11"/>
  <c r="AE161" i="11"/>
  <c r="AE160" i="11"/>
  <c r="AE159" i="11"/>
  <c r="AE158" i="11"/>
  <c r="AE157" i="11"/>
  <c r="AE156" i="11"/>
  <c r="AE155" i="11"/>
  <c r="AE154" i="11"/>
  <c r="AE153" i="11"/>
  <c r="AE152" i="11"/>
  <c r="AE151" i="11"/>
  <c r="AE150" i="11"/>
  <c r="AE143" i="11"/>
  <c r="AE142" i="11"/>
  <c r="AE141" i="11"/>
  <c r="AE140" i="11"/>
  <c r="AE139" i="11"/>
  <c r="AE138" i="11"/>
  <c r="AE137" i="11"/>
  <c r="AE136" i="11"/>
  <c r="AE135" i="11"/>
  <c r="AE134" i="11"/>
  <c r="AE133" i="11"/>
  <c r="AE132" i="11"/>
  <c r="AE131" i="11"/>
  <c r="AE130" i="11"/>
  <c r="AE129" i="11"/>
  <c r="AE128" i="11"/>
  <c r="AE127" i="11"/>
  <c r="AE126" i="11"/>
  <c r="AE125" i="11"/>
  <c r="AE124" i="11"/>
  <c r="AE123" i="11"/>
  <c r="AE122" i="11"/>
  <c r="AE121" i="11"/>
  <c r="AE114" i="11"/>
  <c r="AE113" i="11"/>
  <c r="AE112" i="11"/>
  <c r="AE111" i="11"/>
  <c r="AE110" i="11"/>
  <c r="AE109" i="11"/>
  <c r="AE108" i="11"/>
  <c r="AE107" i="11"/>
  <c r="AE106" i="11"/>
  <c r="AE105" i="11"/>
  <c r="AE104" i="11"/>
  <c r="AE103" i="11"/>
  <c r="AE102" i="11"/>
  <c r="AE101" i="11"/>
  <c r="AE100" i="11"/>
  <c r="AE99" i="11"/>
  <c r="AE98" i="11"/>
  <c r="AE97" i="11"/>
  <c r="AE96" i="11"/>
  <c r="AE95" i="11"/>
  <c r="AE94" i="11"/>
  <c r="AE93" i="11"/>
  <c r="AE92" i="11"/>
  <c r="AE85" i="11"/>
  <c r="AE84" i="11"/>
  <c r="AE83" i="11"/>
  <c r="AE82" i="11"/>
  <c r="AE81" i="11"/>
  <c r="AE80" i="11"/>
  <c r="AE79" i="11"/>
  <c r="AE78" i="11"/>
  <c r="AE77" i="11"/>
  <c r="AE76" i="11"/>
  <c r="AE75" i="11"/>
  <c r="AE74" i="11"/>
  <c r="AE73" i="11"/>
  <c r="AE72" i="11"/>
  <c r="AE71" i="11"/>
  <c r="AE70" i="11"/>
  <c r="AE69" i="11"/>
  <c r="AE68" i="11"/>
  <c r="AE67" i="11"/>
  <c r="AE66" i="11"/>
  <c r="AE65" i="11"/>
  <c r="AE64" i="11"/>
  <c r="AE63" i="11"/>
  <c r="AE56" i="11"/>
  <c r="AE55" i="11"/>
  <c r="AE54" i="11"/>
  <c r="AE53" i="11"/>
  <c r="AE52" i="11"/>
  <c r="AE51" i="11"/>
  <c r="AE50" i="11"/>
  <c r="AE49" i="11"/>
  <c r="AE48" i="11"/>
  <c r="AE47" i="11"/>
  <c r="AE46" i="11"/>
  <c r="AE45" i="11"/>
  <c r="AE44" i="11"/>
  <c r="AE43" i="11"/>
  <c r="AE42" i="11"/>
  <c r="AE41" i="11"/>
  <c r="AE40" i="11"/>
  <c r="AE39" i="11"/>
  <c r="AE38" i="11"/>
  <c r="AE37" i="11"/>
  <c r="AE36" i="11"/>
  <c r="AE35" i="11"/>
  <c r="AE34" i="11"/>
  <c r="AE27" i="11"/>
  <c r="AE26" i="11"/>
  <c r="AE25" i="11"/>
  <c r="AE24" i="11"/>
  <c r="AE23" i="11"/>
  <c r="AE22" i="11"/>
  <c r="AE21" i="11"/>
  <c r="AE20" i="11"/>
  <c r="AE19" i="11"/>
  <c r="AE18" i="11"/>
  <c r="AE17" i="11"/>
  <c r="AE16" i="11"/>
  <c r="AE15" i="11"/>
  <c r="AE14" i="11"/>
  <c r="AE13" i="11"/>
  <c r="AE12" i="11"/>
  <c r="AE11" i="11"/>
  <c r="AE10" i="11"/>
  <c r="AE9" i="11"/>
  <c r="AE8" i="11"/>
  <c r="AE7" i="11"/>
  <c r="AE6" i="11"/>
  <c r="AE5" i="11"/>
  <c r="AB56" i="11"/>
  <c r="AB55" i="11"/>
  <c r="AB54" i="11"/>
  <c r="AB53" i="11"/>
  <c r="AB52" i="11"/>
  <c r="AB51" i="11"/>
  <c r="AB50" i="11"/>
  <c r="AB49" i="11"/>
  <c r="AB48" i="11"/>
  <c r="AB47" i="11"/>
  <c r="AB46" i="11"/>
  <c r="AB45" i="11"/>
  <c r="AB44" i="11"/>
  <c r="AB43" i="11"/>
  <c r="AB42" i="11"/>
  <c r="AB41" i="11"/>
  <c r="AB38" i="11"/>
  <c r="AB37" i="11"/>
  <c r="AB36" i="11"/>
  <c r="AB35" i="11"/>
  <c r="AB27" i="11"/>
  <c r="AB26" i="11"/>
  <c r="AB25" i="11"/>
  <c r="AB24" i="11"/>
  <c r="AB23" i="11"/>
  <c r="AB22" i="11"/>
  <c r="AB21" i="11"/>
  <c r="AB20" i="11"/>
  <c r="AB19" i="11"/>
  <c r="AB18" i="11"/>
  <c r="AB17" i="11"/>
  <c r="AB16" i="11"/>
  <c r="AB15" i="11"/>
  <c r="AB14" i="11"/>
  <c r="AB13" i="11"/>
  <c r="AB12" i="11"/>
  <c r="AB9" i="11"/>
  <c r="AB8" i="11"/>
  <c r="AB7" i="11"/>
  <c r="AB6" i="11"/>
  <c r="AA99" i="10"/>
  <c r="AA98" i="10"/>
  <c r="AA97" i="10"/>
  <c r="AA96" i="10"/>
  <c r="AA95" i="10"/>
  <c r="AA94" i="10"/>
  <c r="AA93" i="10"/>
  <c r="AA92" i="10"/>
  <c r="Y99" i="10"/>
  <c r="Y98" i="10"/>
  <c r="Y97" i="10"/>
  <c r="Y96" i="10"/>
  <c r="Y95" i="10"/>
  <c r="Y94" i="10"/>
  <c r="Y93" i="10"/>
  <c r="Y92" i="10"/>
  <c r="W99" i="10"/>
  <c r="W98" i="10"/>
  <c r="W97" i="10"/>
  <c r="W96" i="10"/>
  <c r="W95" i="10"/>
  <c r="W94" i="10"/>
  <c r="W93" i="10"/>
  <c r="W92" i="10"/>
  <c r="U99" i="10"/>
  <c r="U98" i="10"/>
  <c r="U97" i="10"/>
  <c r="U96" i="10"/>
  <c r="U95" i="10"/>
  <c r="U94" i="10"/>
  <c r="U93" i="10"/>
  <c r="U92" i="10"/>
  <c r="S99" i="10"/>
  <c r="S98" i="10"/>
  <c r="S97" i="10"/>
  <c r="S96" i="10"/>
  <c r="S95" i="10"/>
  <c r="S94" i="10"/>
  <c r="S93" i="10"/>
  <c r="S92" i="10"/>
  <c r="Q99" i="10"/>
  <c r="Q98" i="10"/>
  <c r="Q97" i="10"/>
  <c r="Q96" i="10"/>
  <c r="Q95" i="10"/>
  <c r="Q94" i="10"/>
  <c r="Q93" i="10"/>
  <c r="Q92" i="10"/>
  <c r="O99" i="10"/>
  <c r="O98" i="10"/>
  <c r="O97" i="10"/>
  <c r="O96" i="10"/>
  <c r="O95" i="10"/>
  <c r="O94" i="10"/>
  <c r="O93" i="10"/>
  <c r="O92" i="10"/>
  <c r="M99" i="10"/>
  <c r="M98" i="10"/>
  <c r="M97" i="10"/>
  <c r="M96" i="10"/>
  <c r="M95" i="10"/>
  <c r="M94" i="10"/>
  <c r="M93" i="10"/>
  <c r="M92" i="10"/>
  <c r="K99" i="10"/>
  <c r="K98" i="10"/>
  <c r="K97" i="10"/>
  <c r="K96" i="10"/>
  <c r="K95" i="10"/>
  <c r="K94" i="10"/>
  <c r="K93" i="10"/>
  <c r="K92" i="10"/>
  <c r="I99" i="10"/>
  <c r="I98" i="10"/>
  <c r="I97" i="10"/>
  <c r="I96" i="10"/>
  <c r="I95" i="10"/>
  <c r="I94" i="10"/>
  <c r="I93" i="10"/>
  <c r="I92" i="10"/>
  <c r="G99" i="10"/>
  <c r="G98" i="10"/>
  <c r="G97" i="10"/>
  <c r="G96" i="10"/>
  <c r="G95" i="10"/>
  <c r="G94" i="10"/>
  <c r="G93" i="10"/>
  <c r="G92" i="10"/>
  <c r="E99" i="10"/>
  <c r="E88" i="10"/>
  <c r="E92" i="10"/>
  <c r="E93" i="10"/>
  <c r="E94" i="10"/>
  <c r="E95" i="10"/>
  <c r="E96" i="10"/>
  <c r="E97" i="10"/>
  <c r="E98" i="10"/>
  <c r="E100" i="10"/>
  <c r="E101" i="10"/>
  <c r="D51" i="6"/>
  <c r="AA91" i="10" s="1"/>
  <c r="U109" i="10"/>
  <c r="Q109" i="10"/>
  <c r="K109" i="10"/>
  <c r="AC19" i="7"/>
  <c r="Z19" i="7"/>
  <c r="W19" i="7"/>
  <c r="T19" i="7"/>
  <c r="Q19" i="7"/>
  <c r="N19" i="7"/>
  <c r="K19" i="7"/>
  <c r="H19" i="7"/>
  <c r="O109" i="10" s="1"/>
  <c r="D40" i="6"/>
  <c r="D44" i="6"/>
  <c r="W69" i="10" s="1"/>
  <c r="D47" i="6"/>
  <c r="W82" i="10" s="1"/>
  <c r="D49" i="6"/>
  <c r="W89" i="10" s="1"/>
  <c r="D50" i="6"/>
  <c r="Q90" i="10" s="1"/>
  <c r="AA88" i="10"/>
  <c r="Y88" i="10"/>
  <c r="W88" i="10"/>
  <c r="U88" i="10"/>
  <c r="S88" i="10"/>
  <c r="Q88" i="10"/>
  <c r="O88" i="10"/>
  <c r="M88" i="10"/>
  <c r="K88" i="10"/>
  <c r="I88" i="10"/>
  <c r="G88" i="10"/>
  <c r="O82" i="10"/>
  <c r="AA7" i="10"/>
  <c r="W7" i="10"/>
  <c r="U7" i="10"/>
  <c r="S7" i="10"/>
  <c r="Q7" i="10"/>
  <c r="O7" i="10"/>
  <c r="M7" i="10"/>
  <c r="K7" i="10"/>
  <c r="I7" i="10"/>
  <c r="G7" i="10"/>
  <c r="B44" i="9"/>
  <c r="B43" i="9"/>
  <c r="B42" i="9"/>
  <c r="B41" i="9"/>
  <c r="B40" i="9"/>
  <c r="B39" i="9"/>
  <c r="B38" i="9"/>
  <c r="B37" i="9"/>
  <c r="B36" i="9"/>
  <c r="B35" i="9"/>
  <c r="B34" i="9"/>
  <c r="B33" i="9"/>
  <c r="AC35" i="10"/>
  <c r="O114" i="10"/>
  <c r="Q17" i="7"/>
  <c r="N17" i="7"/>
  <c r="K17" i="7"/>
  <c r="H17" i="7"/>
  <c r="M114" i="10" s="1"/>
  <c r="AA68" i="10"/>
  <c r="Y68" i="10"/>
  <c r="W68" i="10"/>
  <c r="U68" i="10"/>
  <c r="S68" i="10"/>
  <c r="Q68" i="10"/>
  <c r="O68" i="10"/>
  <c r="M68" i="10"/>
  <c r="K68" i="10"/>
  <c r="I68" i="10"/>
  <c r="G68" i="10"/>
  <c r="E68" i="10"/>
  <c r="U64" i="10"/>
  <c r="S64" i="10"/>
  <c r="Q64" i="10"/>
  <c r="O64" i="10"/>
  <c r="M64" i="10"/>
  <c r="K64" i="10"/>
  <c r="W65" i="10"/>
  <c r="W64" i="10"/>
  <c r="Y65" i="10"/>
  <c r="Y64" i="10"/>
  <c r="AA65" i="10"/>
  <c r="AA64" i="10"/>
  <c r="I65" i="10"/>
  <c r="I64" i="10"/>
  <c r="G65" i="10"/>
  <c r="G64" i="10"/>
  <c r="E65" i="10"/>
  <c r="E64" i="10"/>
  <c r="W11" i="7"/>
  <c r="Z11" i="7"/>
  <c r="AA11" i="7"/>
  <c r="AB11" i="7"/>
  <c r="AC11" i="7"/>
  <c r="AD11" i="7"/>
  <c r="AE11" i="7"/>
  <c r="G11" i="7"/>
  <c r="T14" i="7"/>
  <c r="Q14" i="7"/>
  <c r="N14" i="7"/>
  <c r="K14" i="7"/>
  <c r="H14" i="7"/>
  <c r="I14" i="7" s="1"/>
  <c r="J14" i="7" s="1"/>
  <c r="T13" i="7"/>
  <c r="Q13" i="7"/>
  <c r="N13" i="7"/>
  <c r="K13" i="7"/>
  <c r="H13" i="7"/>
  <c r="I13" i="7" s="1"/>
  <c r="J13" i="7" s="1"/>
  <c r="H9" i="7"/>
  <c r="I9" i="7" s="1"/>
  <c r="T9" i="7"/>
  <c r="Q9" i="7"/>
  <c r="N9" i="7"/>
  <c r="K9" i="7"/>
  <c r="T12" i="7"/>
  <c r="T11" i="7" s="1"/>
  <c r="Q12" i="7"/>
  <c r="N12" i="7"/>
  <c r="N11" i="7" s="1"/>
  <c r="K12" i="7"/>
  <c r="H12" i="7"/>
  <c r="I12" i="7" s="1"/>
  <c r="J12" i="7" s="1"/>
  <c r="L107" i="6" l="1"/>
  <c r="E23" i="12" s="1"/>
  <c r="L119" i="6"/>
  <c r="F23" i="12" s="1"/>
  <c r="M109" i="10"/>
  <c r="I109" i="10"/>
  <c r="G109" i="10"/>
  <c r="E109" i="10"/>
  <c r="AA109" i="10"/>
  <c r="Y109" i="10"/>
  <c r="W109" i="10"/>
  <c r="S109" i="10"/>
  <c r="I19" i="7"/>
  <c r="L19" i="7" s="1"/>
  <c r="Q11" i="7"/>
  <c r="Q114" i="10"/>
  <c r="K11" i="7"/>
  <c r="B6" i="12"/>
  <c r="B12" i="12"/>
  <c r="J72" i="6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J117" i="6" s="1"/>
  <c r="J118" i="6" s="1"/>
  <c r="J119" i="6" s="1"/>
  <c r="L83" i="6"/>
  <c r="Y82" i="10"/>
  <c r="O91" i="10"/>
  <c r="E82" i="10"/>
  <c r="AA82" i="10"/>
  <c r="S91" i="10"/>
  <c r="G82" i="10"/>
  <c r="E89" i="10"/>
  <c r="U90" i="10"/>
  <c r="I82" i="10"/>
  <c r="E91" i="10"/>
  <c r="Y90" i="10"/>
  <c r="O89" i="10"/>
  <c r="K82" i="10"/>
  <c r="AA89" i="10"/>
  <c r="K89" i="10"/>
  <c r="Q82" i="10"/>
  <c r="M82" i="10"/>
  <c r="I90" i="10"/>
  <c r="G90" i="10"/>
  <c r="M89" i="10"/>
  <c r="Q91" i="10"/>
  <c r="W90" i="10"/>
  <c r="G91" i="10"/>
  <c r="M90" i="10"/>
  <c r="S89" i="10"/>
  <c r="W91" i="10"/>
  <c r="I89" i="10"/>
  <c r="M91" i="10"/>
  <c r="S90" i="10"/>
  <c r="Y89" i="10"/>
  <c r="E90" i="10"/>
  <c r="I91" i="10"/>
  <c r="O90" i="10"/>
  <c r="U89" i="10"/>
  <c r="Y91" i="10"/>
  <c r="K90" i="10"/>
  <c r="Q89" i="10"/>
  <c r="U91" i="10"/>
  <c r="AA90" i="10"/>
  <c r="G89" i="10"/>
  <c r="K91" i="10"/>
  <c r="I69" i="10"/>
  <c r="Q69" i="10"/>
  <c r="Y69" i="10"/>
  <c r="K69" i="10"/>
  <c r="S69" i="10"/>
  <c r="AA69" i="10"/>
  <c r="E69" i="10"/>
  <c r="M69" i="10"/>
  <c r="U69" i="10"/>
  <c r="G69" i="10"/>
  <c r="O69" i="10"/>
  <c r="O104" i="10"/>
  <c r="Q104" i="10"/>
  <c r="S104" i="10"/>
  <c r="E104" i="10"/>
  <c r="U104" i="10"/>
  <c r="G104" i="10"/>
  <c r="W104" i="10"/>
  <c r="I104" i="10"/>
  <c r="Y104" i="10"/>
  <c r="K104" i="10"/>
  <c r="AA104" i="10"/>
  <c r="M104" i="10"/>
  <c r="J11" i="7"/>
  <c r="H11" i="7"/>
  <c r="I11" i="7"/>
  <c r="S114" i="10"/>
  <c r="E114" i="10"/>
  <c r="U114" i="10"/>
  <c r="G114" i="10"/>
  <c r="W114" i="10"/>
  <c r="I114" i="10"/>
  <c r="Y114" i="10"/>
  <c r="I17" i="7"/>
  <c r="J17" i="7" s="1"/>
  <c r="K114" i="10"/>
  <c r="AA114" i="10"/>
  <c r="M19" i="7"/>
  <c r="O19" i="7"/>
  <c r="J19" i="7"/>
  <c r="S82" i="10"/>
  <c r="U82" i="10"/>
  <c r="L14" i="7"/>
  <c r="L13" i="7"/>
  <c r="L12" i="7"/>
  <c r="L9" i="7"/>
  <c r="O9" i="7" s="1"/>
  <c r="J9" i="7"/>
  <c r="L11" i="7" l="1"/>
  <c r="L17" i="7"/>
  <c r="O17" i="7" s="1"/>
  <c r="P17" i="7" s="1"/>
  <c r="M83" i="6"/>
  <c r="M95" i="6" s="1"/>
  <c r="M107" i="6" s="1"/>
  <c r="M119" i="6" s="1"/>
  <c r="C23" i="12"/>
  <c r="M108" i="10"/>
  <c r="AA108" i="10"/>
  <c r="S108" i="10"/>
  <c r="K108" i="10"/>
  <c r="Y108" i="10"/>
  <c r="Q108" i="10"/>
  <c r="I108" i="10"/>
  <c r="E108" i="10"/>
  <c r="U108" i="10"/>
  <c r="W108" i="10"/>
  <c r="O108" i="10"/>
  <c r="G108" i="10"/>
  <c r="R19" i="7"/>
  <c r="P19" i="7"/>
  <c r="R17" i="7"/>
  <c r="M17" i="7"/>
  <c r="O14" i="7"/>
  <c r="M14" i="7"/>
  <c r="O13" i="7"/>
  <c r="M13" i="7"/>
  <c r="P9" i="7"/>
  <c r="R9" i="7"/>
  <c r="O12" i="7"/>
  <c r="O11" i="7" s="1"/>
  <c r="M12" i="7"/>
  <c r="M9" i="7"/>
  <c r="M11" i="7" l="1"/>
  <c r="U19" i="7"/>
  <c r="S19" i="7"/>
  <c r="S17" i="7"/>
  <c r="U17" i="7"/>
  <c r="V17" i="7" s="1"/>
  <c r="P14" i="7"/>
  <c r="R14" i="7"/>
  <c r="P13" i="7"/>
  <c r="R13" i="7"/>
  <c r="S9" i="7"/>
  <c r="U9" i="7"/>
  <c r="P12" i="7"/>
  <c r="R12" i="7"/>
  <c r="R11" i="7" l="1"/>
  <c r="P11" i="7"/>
  <c r="V19" i="7"/>
  <c r="X19" i="7"/>
  <c r="U14" i="7"/>
  <c r="S14" i="7"/>
  <c r="S13" i="7"/>
  <c r="U13" i="7"/>
  <c r="V9" i="7"/>
  <c r="U12" i="7"/>
  <c r="S12" i="7"/>
  <c r="S11" i="7" l="1"/>
  <c r="U11" i="7"/>
  <c r="Y19" i="7"/>
  <c r="AA19" i="7"/>
  <c r="AD19" i="7" s="1"/>
  <c r="AE19" i="7" s="1"/>
  <c r="X14" i="7"/>
  <c r="Y14" i="7" s="1"/>
  <c r="V14" i="7"/>
  <c r="X13" i="7"/>
  <c r="V13" i="7"/>
  <c r="X12" i="7"/>
  <c r="Y12" i="7" s="1"/>
  <c r="V12" i="7"/>
  <c r="V11" i="7" l="1"/>
  <c r="AB19" i="7"/>
  <c r="Y13" i="7"/>
  <c r="Y11" i="7" s="1"/>
  <c r="X11" i="7"/>
  <c r="AA61" i="10" l="1"/>
  <c r="AA60" i="10"/>
  <c r="Y61" i="10"/>
  <c r="Y60" i="10"/>
  <c r="W61" i="10"/>
  <c r="W60" i="10"/>
  <c r="U61" i="10"/>
  <c r="U60" i="10"/>
  <c r="S61" i="10"/>
  <c r="S60" i="10"/>
  <c r="Q61" i="10"/>
  <c r="Q60" i="10"/>
  <c r="O61" i="10"/>
  <c r="O60" i="10"/>
  <c r="M61" i="10"/>
  <c r="M60" i="10"/>
  <c r="K61" i="10"/>
  <c r="K60" i="10"/>
  <c r="I61" i="10"/>
  <c r="I60" i="10"/>
  <c r="G61" i="10"/>
  <c r="G60" i="10"/>
  <c r="E61" i="10"/>
  <c r="E60" i="10"/>
  <c r="AA323" i="1"/>
  <c r="AB323" i="1"/>
  <c r="AA294" i="1"/>
  <c r="AB294" i="1"/>
  <c r="AA265" i="1"/>
  <c r="AB265" i="1"/>
  <c r="AA236" i="1"/>
  <c r="AB236" i="1"/>
  <c r="AA207" i="1"/>
  <c r="AB207" i="1"/>
  <c r="AA178" i="1"/>
  <c r="AB178" i="1"/>
  <c r="AA149" i="1"/>
  <c r="AB149" i="1"/>
  <c r="AA120" i="1"/>
  <c r="AA91" i="1"/>
  <c r="AB91" i="1"/>
  <c r="AB120" i="1" s="1"/>
  <c r="AA62" i="1"/>
  <c r="AB62" i="1"/>
  <c r="AA33" i="1"/>
  <c r="AB33" i="1"/>
  <c r="AA323" i="11"/>
  <c r="AB323" i="11"/>
  <c r="AA294" i="11"/>
  <c r="AB294" i="11"/>
  <c r="AB265" i="11"/>
  <c r="AA265" i="11"/>
  <c r="AA236" i="11"/>
  <c r="AB236" i="11"/>
  <c r="AA207" i="11"/>
  <c r="AB207" i="11"/>
  <c r="AA178" i="11"/>
  <c r="AB178" i="11"/>
  <c r="AA149" i="11"/>
  <c r="AB149" i="11"/>
  <c r="AA120" i="11"/>
  <c r="AB120" i="11"/>
  <c r="AA91" i="11"/>
  <c r="AB91" i="11"/>
  <c r="AA62" i="11"/>
  <c r="AB62" i="11"/>
  <c r="AA33" i="11"/>
  <c r="AB33" i="1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28" i="1"/>
  <c r="AB327" i="1"/>
  <c r="AB326" i="1"/>
  <c r="AB325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299" i="1"/>
  <c r="AB298" i="1"/>
  <c r="AB297" i="1"/>
  <c r="AB296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0" i="1"/>
  <c r="AB269" i="1"/>
  <c r="AB268" i="1"/>
  <c r="AB267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1" i="1"/>
  <c r="AB240" i="1"/>
  <c r="AB239" i="1"/>
  <c r="AB238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2" i="1"/>
  <c r="AB211" i="1"/>
  <c r="AB210" i="1"/>
  <c r="AB209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3" i="1"/>
  <c r="AB182" i="1"/>
  <c r="AB181" i="1"/>
  <c r="AB180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4" i="1"/>
  <c r="AB153" i="1"/>
  <c r="AB152" i="1"/>
  <c r="AB151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5" i="1"/>
  <c r="AB124" i="1"/>
  <c r="AB123" i="1"/>
  <c r="AB122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6" i="1"/>
  <c r="AB95" i="1"/>
  <c r="AB94" i="1"/>
  <c r="AB93" i="1"/>
  <c r="AB56" i="1"/>
  <c r="AB55" i="1"/>
  <c r="AB54" i="1"/>
  <c r="AB83" i="1" s="1"/>
  <c r="AB53" i="1"/>
  <c r="AB52" i="1"/>
  <c r="AB81" i="1" s="1"/>
  <c r="AB51" i="1"/>
  <c r="AB50" i="1"/>
  <c r="AB79" i="1" s="1"/>
  <c r="AB49" i="1"/>
  <c r="AB78" i="1" s="1"/>
  <c r="AB48" i="1"/>
  <c r="AB47" i="1"/>
  <c r="AB46" i="1"/>
  <c r="AB45" i="1"/>
  <c r="AB44" i="1"/>
  <c r="AB73" i="1" s="1"/>
  <c r="AB43" i="1"/>
  <c r="AB42" i="1"/>
  <c r="AB41" i="1"/>
  <c r="AB70" i="1" s="1"/>
  <c r="AB38" i="1"/>
  <c r="AB67" i="1" s="1"/>
  <c r="AB37" i="1"/>
  <c r="AB36" i="1"/>
  <c r="AB65" i="1" s="1"/>
  <c r="AB35" i="1"/>
  <c r="R346" i="1"/>
  <c r="R345" i="1"/>
  <c r="R317" i="1"/>
  <c r="R316" i="1"/>
  <c r="R288" i="1"/>
  <c r="R287" i="1"/>
  <c r="R259" i="1"/>
  <c r="R258" i="1"/>
  <c r="R230" i="1"/>
  <c r="R229" i="1"/>
  <c r="R201" i="1"/>
  <c r="R200" i="1"/>
  <c r="R172" i="1"/>
  <c r="R171" i="1"/>
  <c r="R143" i="1"/>
  <c r="R142" i="1"/>
  <c r="R114" i="1"/>
  <c r="R113" i="1"/>
  <c r="R85" i="1"/>
  <c r="R84" i="1"/>
  <c r="R56" i="1"/>
  <c r="R55" i="1"/>
  <c r="R335" i="1"/>
  <c r="R336" i="1"/>
  <c r="R337" i="1"/>
  <c r="R338" i="1"/>
  <c r="R339" i="1"/>
  <c r="R340" i="1"/>
  <c r="R341" i="1"/>
  <c r="R342" i="1"/>
  <c r="R343" i="1"/>
  <c r="R344" i="1"/>
  <c r="R306" i="1"/>
  <c r="R307" i="1"/>
  <c r="R308" i="1"/>
  <c r="R309" i="1"/>
  <c r="R310" i="1"/>
  <c r="R311" i="1"/>
  <c r="R312" i="1"/>
  <c r="R313" i="1"/>
  <c r="R314" i="1"/>
  <c r="R315" i="1"/>
  <c r="R277" i="1"/>
  <c r="R278" i="1"/>
  <c r="R279" i="1"/>
  <c r="R280" i="1"/>
  <c r="R281" i="1"/>
  <c r="R282" i="1"/>
  <c r="R283" i="1"/>
  <c r="R284" i="1"/>
  <c r="R285" i="1"/>
  <c r="R286" i="1"/>
  <c r="R248" i="1"/>
  <c r="R249" i="1"/>
  <c r="R250" i="1"/>
  <c r="R251" i="1"/>
  <c r="R252" i="1"/>
  <c r="R253" i="1"/>
  <c r="R254" i="1"/>
  <c r="R255" i="1"/>
  <c r="R256" i="1"/>
  <c r="R257" i="1"/>
  <c r="R219" i="1"/>
  <c r="R220" i="1"/>
  <c r="R221" i="1"/>
  <c r="R222" i="1"/>
  <c r="R223" i="1"/>
  <c r="R224" i="1"/>
  <c r="R225" i="1"/>
  <c r="R226" i="1"/>
  <c r="R227" i="1"/>
  <c r="R228" i="1"/>
  <c r="R190" i="1"/>
  <c r="R191" i="1"/>
  <c r="R192" i="1"/>
  <c r="R193" i="1"/>
  <c r="R194" i="1"/>
  <c r="R195" i="1"/>
  <c r="R196" i="1"/>
  <c r="R197" i="1"/>
  <c r="R198" i="1"/>
  <c r="R199" i="1"/>
  <c r="R161" i="1"/>
  <c r="R162" i="1"/>
  <c r="R163" i="1"/>
  <c r="R164" i="1"/>
  <c r="R165" i="1"/>
  <c r="R166" i="1"/>
  <c r="R167" i="1"/>
  <c r="R168" i="1"/>
  <c r="R169" i="1"/>
  <c r="R170" i="1"/>
  <c r="R132" i="1"/>
  <c r="R133" i="1"/>
  <c r="R134" i="1"/>
  <c r="R135" i="1"/>
  <c r="R136" i="1"/>
  <c r="R137" i="1"/>
  <c r="R138" i="1"/>
  <c r="R139" i="1"/>
  <c r="R140" i="1"/>
  <c r="R141" i="1"/>
  <c r="R103" i="1"/>
  <c r="R104" i="1"/>
  <c r="R105" i="1"/>
  <c r="R106" i="1"/>
  <c r="R107" i="1"/>
  <c r="R108" i="1"/>
  <c r="R109" i="1"/>
  <c r="R110" i="1"/>
  <c r="R111" i="1"/>
  <c r="R112" i="1"/>
  <c r="R74" i="1"/>
  <c r="R75" i="1"/>
  <c r="R76" i="1"/>
  <c r="R77" i="1"/>
  <c r="R78" i="1"/>
  <c r="R79" i="1"/>
  <c r="R80" i="1"/>
  <c r="R81" i="1"/>
  <c r="R82" i="1"/>
  <c r="R83" i="1"/>
  <c r="R45" i="1"/>
  <c r="R46" i="1"/>
  <c r="R47" i="1"/>
  <c r="R48" i="1"/>
  <c r="R49" i="1"/>
  <c r="R50" i="1"/>
  <c r="R51" i="1"/>
  <c r="R52" i="1"/>
  <c r="R53" i="1"/>
  <c r="R54" i="1"/>
  <c r="R334" i="1"/>
  <c r="R305" i="1"/>
  <c r="R276" i="1"/>
  <c r="R247" i="1"/>
  <c r="R218" i="1"/>
  <c r="R189" i="1"/>
  <c r="R160" i="1"/>
  <c r="R131" i="1"/>
  <c r="R102" i="1"/>
  <c r="R73" i="1"/>
  <c r="R44" i="1"/>
  <c r="R325" i="1"/>
  <c r="R326" i="1"/>
  <c r="R327" i="1"/>
  <c r="R328" i="1"/>
  <c r="R329" i="1"/>
  <c r="R330" i="1"/>
  <c r="R331" i="1"/>
  <c r="R332" i="1"/>
  <c r="R333" i="1"/>
  <c r="R296" i="1"/>
  <c r="R297" i="1"/>
  <c r="R298" i="1"/>
  <c r="R299" i="1"/>
  <c r="R300" i="1"/>
  <c r="R301" i="1"/>
  <c r="R302" i="1"/>
  <c r="R303" i="1"/>
  <c r="R304" i="1"/>
  <c r="R267" i="1"/>
  <c r="R268" i="1"/>
  <c r="R269" i="1"/>
  <c r="R270" i="1"/>
  <c r="R271" i="1"/>
  <c r="R272" i="1"/>
  <c r="R273" i="1"/>
  <c r="R274" i="1"/>
  <c r="R275" i="1"/>
  <c r="R238" i="1"/>
  <c r="R239" i="1"/>
  <c r="R240" i="1"/>
  <c r="R241" i="1"/>
  <c r="R242" i="1"/>
  <c r="R243" i="1"/>
  <c r="R244" i="1"/>
  <c r="R245" i="1"/>
  <c r="R246" i="1"/>
  <c r="R209" i="1"/>
  <c r="R210" i="1"/>
  <c r="R211" i="1"/>
  <c r="R212" i="1"/>
  <c r="R213" i="1"/>
  <c r="R214" i="1"/>
  <c r="R215" i="1"/>
  <c r="R216" i="1"/>
  <c r="R217" i="1"/>
  <c r="R180" i="1"/>
  <c r="R181" i="1"/>
  <c r="R182" i="1"/>
  <c r="R183" i="1"/>
  <c r="R184" i="1"/>
  <c r="R185" i="1"/>
  <c r="R186" i="1"/>
  <c r="R187" i="1"/>
  <c r="R188" i="1"/>
  <c r="R151" i="1"/>
  <c r="R152" i="1"/>
  <c r="R153" i="1"/>
  <c r="R154" i="1"/>
  <c r="R155" i="1"/>
  <c r="R156" i="1"/>
  <c r="R157" i="1"/>
  <c r="R158" i="1"/>
  <c r="R159" i="1"/>
  <c r="R122" i="1"/>
  <c r="R123" i="1"/>
  <c r="R124" i="1"/>
  <c r="R125" i="1"/>
  <c r="R126" i="1"/>
  <c r="R127" i="1"/>
  <c r="R128" i="1"/>
  <c r="R129" i="1"/>
  <c r="R130" i="1"/>
  <c r="R93" i="1"/>
  <c r="R94" i="1"/>
  <c r="R95" i="1"/>
  <c r="R96" i="1"/>
  <c r="R97" i="1"/>
  <c r="R98" i="1"/>
  <c r="R99" i="1"/>
  <c r="R100" i="1"/>
  <c r="R101" i="1"/>
  <c r="R64" i="1"/>
  <c r="R65" i="1"/>
  <c r="R66" i="1"/>
  <c r="R67" i="1"/>
  <c r="R68" i="1"/>
  <c r="R69" i="1"/>
  <c r="R70" i="1"/>
  <c r="R71" i="1"/>
  <c r="R72" i="1"/>
  <c r="R35" i="1"/>
  <c r="R36" i="1"/>
  <c r="R37" i="1"/>
  <c r="R38" i="1"/>
  <c r="R39" i="1"/>
  <c r="R40" i="1"/>
  <c r="R41" i="1"/>
  <c r="R42" i="1"/>
  <c r="R43" i="1"/>
  <c r="R324" i="1"/>
  <c r="R295" i="1"/>
  <c r="R266" i="1"/>
  <c r="R237" i="1"/>
  <c r="R208" i="1"/>
  <c r="R179" i="1"/>
  <c r="R150" i="1"/>
  <c r="R121" i="1"/>
  <c r="R92" i="1"/>
  <c r="R63" i="1"/>
  <c r="R34" i="1"/>
  <c r="AB85" i="1"/>
  <c r="AB84" i="1"/>
  <c r="AB82" i="1"/>
  <c r="AB80" i="1"/>
  <c r="AB77" i="1"/>
  <c r="AB76" i="1"/>
  <c r="AB75" i="1"/>
  <c r="AB74" i="1"/>
  <c r="AB72" i="1"/>
  <c r="AB71" i="1"/>
  <c r="AB66" i="1"/>
  <c r="AB64" i="1"/>
  <c r="AH346" i="11"/>
  <c r="AH345" i="11"/>
  <c r="AH344" i="11"/>
  <c r="AH343" i="11"/>
  <c r="AH342" i="11"/>
  <c r="AH341" i="11"/>
  <c r="AH340" i="11"/>
  <c r="AH339" i="11"/>
  <c r="AH338" i="11"/>
  <c r="AH337" i="11"/>
  <c r="AH336" i="11"/>
  <c r="AH335" i="11"/>
  <c r="AH331" i="11"/>
  <c r="AH330" i="11"/>
  <c r="AH329" i="11"/>
  <c r="AH328" i="11"/>
  <c r="AH327" i="11"/>
  <c r="AH326" i="11"/>
  <c r="AH325" i="11"/>
  <c r="AH324" i="11"/>
  <c r="AH317" i="11"/>
  <c r="AH316" i="11"/>
  <c r="AH315" i="11"/>
  <c r="AH314" i="11"/>
  <c r="AH313" i="11"/>
  <c r="AH312" i="11"/>
  <c r="AH311" i="11"/>
  <c r="AH310" i="11"/>
  <c r="AH309" i="11"/>
  <c r="AH308" i="11"/>
  <c r="AH307" i="11"/>
  <c r="AH306" i="11"/>
  <c r="AH305" i="11"/>
  <c r="AH304" i="11"/>
  <c r="AH303" i="11"/>
  <c r="AH302" i="11"/>
  <c r="AH301" i="11"/>
  <c r="AH300" i="11"/>
  <c r="AH299" i="11"/>
  <c r="AH298" i="11"/>
  <c r="AH297" i="11"/>
  <c r="AH296" i="11"/>
  <c r="AH295" i="11"/>
  <c r="AH288" i="11"/>
  <c r="AH287" i="11"/>
  <c r="AH286" i="11"/>
  <c r="AH285" i="11"/>
  <c r="AH284" i="11"/>
  <c r="AH283" i="11"/>
  <c r="AH282" i="11"/>
  <c r="AH281" i="11"/>
  <c r="AH280" i="11"/>
  <c r="AH279" i="11"/>
  <c r="AH278" i="11"/>
  <c r="AH277" i="11"/>
  <c r="AH276" i="11"/>
  <c r="AH275" i="11"/>
  <c r="AH274" i="11"/>
  <c r="AH273" i="11"/>
  <c r="AH272" i="11"/>
  <c r="AH271" i="11"/>
  <c r="AH270" i="11"/>
  <c r="AH269" i="11"/>
  <c r="AH268" i="11"/>
  <c r="AH267" i="11"/>
  <c r="AH266" i="11"/>
  <c r="AH259" i="11"/>
  <c r="AH258" i="11"/>
  <c r="AH257" i="11"/>
  <c r="AH256" i="11"/>
  <c r="AH255" i="11"/>
  <c r="AH254" i="11"/>
  <c r="AH253" i="11"/>
  <c r="AH252" i="11"/>
  <c r="AH251" i="11"/>
  <c r="AH250" i="11"/>
  <c r="AH249" i="11"/>
  <c r="AH243" i="11"/>
  <c r="AH242" i="11"/>
  <c r="AH241" i="11"/>
  <c r="AH240" i="11"/>
  <c r="AH239" i="11"/>
  <c r="AH238" i="11"/>
  <c r="AH237" i="11"/>
  <c r="AH230" i="11"/>
  <c r="AH229" i="11"/>
  <c r="AH228" i="11"/>
  <c r="AH227" i="11"/>
  <c r="AH226" i="11"/>
  <c r="AH225" i="11"/>
  <c r="AH224" i="11"/>
  <c r="AH223" i="11"/>
  <c r="AH222" i="11"/>
  <c r="AH221" i="11"/>
  <c r="AH220" i="11"/>
  <c r="AH219" i="11"/>
  <c r="AH218" i="11"/>
  <c r="AH217" i="11"/>
  <c r="AH216" i="11"/>
  <c r="AH215" i="11"/>
  <c r="AH214" i="11"/>
  <c r="AH213" i="11"/>
  <c r="AH212" i="11"/>
  <c r="AH211" i="11"/>
  <c r="AH210" i="11"/>
  <c r="AH209" i="11"/>
  <c r="AH208" i="11"/>
  <c r="AH201" i="11"/>
  <c r="AH200" i="11"/>
  <c r="AH199" i="11"/>
  <c r="AH198" i="11"/>
  <c r="AH197" i="11"/>
  <c r="AH196" i="11"/>
  <c r="AH195" i="11"/>
  <c r="AH194" i="11"/>
  <c r="AH193" i="11"/>
  <c r="AH192" i="11"/>
  <c r="AH191" i="11"/>
  <c r="AH190" i="11"/>
  <c r="AH189" i="11"/>
  <c r="AH188" i="11"/>
  <c r="AH187" i="11"/>
  <c r="AH186" i="11"/>
  <c r="AH185" i="11"/>
  <c r="AH184" i="11"/>
  <c r="AH183" i="11"/>
  <c r="AH182" i="11"/>
  <c r="AH181" i="11"/>
  <c r="AH180" i="11"/>
  <c r="AH179" i="11"/>
  <c r="AH172" i="11"/>
  <c r="AH171" i="11"/>
  <c r="AH170" i="11"/>
  <c r="AH169" i="11"/>
  <c r="AH168" i="11"/>
  <c r="AH167" i="11"/>
  <c r="AH166" i="11"/>
  <c r="AH165" i="11"/>
  <c r="AH164" i="11"/>
  <c r="AH163" i="11"/>
  <c r="AH162" i="11"/>
  <c r="AH161" i="11"/>
  <c r="AH160" i="11"/>
  <c r="AH159" i="11"/>
  <c r="AH158" i="11"/>
  <c r="AH157" i="11"/>
  <c r="AH156" i="11"/>
  <c r="AH155" i="11"/>
  <c r="AH154" i="11"/>
  <c r="AH153" i="11"/>
  <c r="AH152" i="11"/>
  <c r="AH151" i="11"/>
  <c r="AH150" i="11"/>
  <c r="AH143" i="11"/>
  <c r="AH142" i="11"/>
  <c r="AH141" i="11"/>
  <c r="AH140" i="11"/>
  <c r="AH139" i="11"/>
  <c r="AH138" i="11"/>
  <c r="AH137" i="11"/>
  <c r="AH136" i="11"/>
  <c r="AH135" i="11"/>
  <c r="AH134" i="11"/>
  <c r="AH133" i="11"/>
  <c r="AH132" i="11"/>
  <c r="AH131" i="11"/>
  <c r="AH130" i="11"/>
  <c r="AH129" i="11"/>
  <c r="AH128" i="11"/>
  <c r="AH127" i="11"/>
  <c r="AH126" i="11"/>
  <c r="AH125" i="11"/>
  <c r="AH124" i="11"/>
  <c r="AH123" i="11"/>
  <c r="AH122" i="11"/>
  <c r="AH121" i="11"/>
  <c r="AH114" i="11"/>
  <c r="AH113" i="11"/>
  <c r="AH112" i="11"/>
  <c r="AH111" i="11"/>
  <c r="AH110" i="11"/>
  <c r="AH109" i="11"/>
  <c r="AH108" i="11"/>
  <c r="AH107" i="11"/>
  <c r="AH106" i="11"/>
  <c r="AH105" i="11"/>
  <c r="AH104" i="11"/>
  <c r="AH103" i="11"/>
  <c r="AH102" i="11"/>
  <c r="AH101" i="11"/>
  <c r="AH100" i="11"/>
  <c r="AH99" i="11"/>
  <c r="AH98" i="11"/>
  <c r="AH97" i="11"/>
  <c r="AH96" i="11"/>
  <c r="AH95" i="11"/>
  <c r="AH94" i="11"/>
  <c r="AH93" i="11"/>
  <c r="AH92" i="11"/>
  <c r="AH85" i="11"/>
  <c r="AH84" i="11"/>
  <c r="AH83" i="11"/>
  <c r="AH82" i="11"/>
  <c r="AH81" i="11"/>
  <c r="AH80" i="11"/>
  <c r="AH79" i="11"/>
  <c r="AH78" i="11"/>
  <c r="AH77" i="11"/>
  <c r="AH76" i="11"/>
  <c r="AH75" i="11"/>
  <c r="AH74" i="11"/>
  <c r="AH73" i="11"/>
  <c r="AH72" i="11"/>
  <c r="AH71" i="11"/>
  <c r="AH70" i="11"/>
  <c r="AH69" i="11"/>
  <c r="AH68" i="11"/>
  <c r="AH67" i="11"/>
  <c r="AH66" i="11"/>
  <c r="AH65" i="11"/>
  <c r="AH64" i="11"/>
  <c r="AH63" i="11"/>
  <c r="AH56" i="11"/>
  <c r="AH55" i="11"/>
  <c r="AH54" i="11"/>
  <c r="AH53" i="11"/>
  <c r="AH52" i="11"/>
  <c r="AH51" i="11"/>
  <c r="AH50" i="11"/>
  <c r="AH49" i="11"/>
  <c r="AH48" i="11"/>
  <c r="AH47" i="11"/>
  <c r="AH46" i="11"/>
  <c r="AH45" i="11"/>
  <c r="AH44" i="11"/>
  <c r="AH43" i="11"/>
  <c r="AH42" i="11"/>
  <c r="AH41" i="11"/>
  <c r="AH40" i="11"/>
  <c r="AH39" i="11"/>
  <c r="AH38" i="11"/>
  <c r="AH37" i="11"/>
  <c r="AH36" i="11"/>
  <c r="AH35" i="11"/>
  <c r="AH34" i="11"/>
  <c r="Z92" i="5"/>
  <c r="Y92" i="5"/>
  <c r="X92" i="5"/>
  <c r="W92" i="5"/>
  <c r="V92" i="5"/>
  <c r="AB91" i="5"/>
  <c r="Z84" i="5"/>
  <c r="Y84" i="5"/>
  <c r="X84" i="5"/>
  <c r="W84" i="5"/>
  <c r="V84" i="5"/>
  <c r="AB83" i="5"/>
  <c r="Z76" i="5"/>
  <c r="Y76" i="5"/>
  <c r="X76" i="5"/>
  <c r="W76" i="5"/>
  <c r="V76" i="5"/>
  <c r="AB75" i="5"/>
  <c r="Z68" i="5"/>
  <c r="Y68" i="5"/>
  <c r="X68" i="5"/>
  <c r="W68" i="5"/>
  <c r="V68" i="5"/>
  <c r="AB67" i="5"/>
  <c r="Z60" i="5"/>
  <c r="Y60" i="5"/>
  <c r="X60" i="5"/>
  <c r="W60" i="5"/>
  <c r="V60" i="5"/>
  <c r="AB59" i="5"/>
  <c r="Z52" i="5"/>
  <c r="Y52" i="5"/>
  <c r="X52" i="5"/>
  <c r="W52" i="5"/>
  <c r="V52" i="5"/>
  <c r="AB51" i="5"/>
  <c r="Z44" i="5"/>
  <c r="Y44" i="5"/>
  <c r="X44" i="5"/>
  <c r="W44" i="5"/>
  <c r="V44" i="5"/>
  <c r="AB43" i="5"/>
  <c r="Z36" i="5"/>
  <c r="Y36" i="5"/>
  <c r="X36" i="5"/>
  <c r="W36" i="5"/>
  <c r="V36" i="5"/>
  <c r="AB35" i="5"/>
  <c r="Z28" i="5"/>
  <c r="Y28" i="5"/>
  <c r="X28" i="5"/>
  <c r="W28" i="5"/>
  <c r="V28" i="5"/>
  <c r="AB27" i="5"/>
  <c r="Z20" i="5"/>
  <c r="Y20" i="5"/>
  <c r="X20" i="5"/>
  <c r="W20" i="5"/>
  <c r="V20" i="5"/>
  <c r="AB19" i="5"/>
  <c r="Z12" i="5"/>
  <c r="Y12" i="5"/>
  <c r="X12" i="5"/>
  <c r="W12" i="5"/>
  <c r="V12" i="5"/>
  <c r="AB11" i="5"/>
  <c r="Z191" i="4"/>
  <c r="Y191" i="4"/>
  <c r="X191" i="4"/>
  <c r="W191" i="4"/>
  <c r="V191" i="4"/>
  <c r="AB190" i="4"/>
  <c r="Z174" i="4"/>
  <c r="Y174" i="4"/>
  <c r="X174" i="4"/>
  <c r="W174" i="4"/>
  <c r="V174" i="4"/>
  <c r="AB173" i="4"/>
  <c r="Z157" i="4"/>
  <c r="Y157" i="4"/>
  <c r="X157" i="4"/>
  <c r="W157" i="4"/>
  <c r="V157" i="4"/>
  <c r="AB156" i="4"/>
  <c r="Z140" i="4"/>
  <c r="Y140" i="4"/>
  <c r="X140" i="4"/>
  <c r="W140" i="4"/>
  <c r="V140" i="4"/>
  <c r="AB139" i="4"/>
  <c r="Z123" i="4"/>
  <c r="Y123" i="4"/>
  <c r="X123" i="4"/>
  <c r="W123" i="4"/>
  <c r="V123" i="4"/>
  <c r="AB122" i="4"/>
  <c r="Z106" i="4"/>
  <c r="Y106" i="4"/>
  <c r="X106" i="4"/>
  <c r="W106" i="4"/>
  <c r="V106" i="4"/>
  <c r="AB105" i="4"/>
  <c r="Z89" i="4"/>
  <c r="Y89" i="4"/>
  <c r="X89" i="4"/>
  <c r="W89" i="4"/>
  <c r="V89" i="4"/>
  <c r="AB88" i="4"/>
  <c r="Z72" i="4"/>
  <c r="Y72" i="4"/>
  <c r="X72" i="4"/>
  <c r="W72" i="4"/>
  <c r="V72" i="4"/>
  <c r="AB71" i="4"/>
  <c r="Z55" i="4"/>
  <c r="Y55" i="4"/>
  <c r="X55" i="4"/>
  <c r="W55" i="4"/>
  <c r="V55" i="4"/>
  <c r="AB54" i="4"/>
  <c r="Z38" i="4"/>
  <c r="Y38" i="4"/>
  <c r="X38" i="4"/>
  <c r="W38" i="4"/>
  <c r="V38" i="4"/>
  <c r="AB37" i="4"/>
  <c r="Z21" i="4"/>
  <c r="Y21" i="4"/>
  <c r="X21" i="4"/>
  <c r="W21" i="4"/>
  <c r="V21" i="4"/>
  <c r="AB20" i="4"/>
  <c r="AB329" i="1"/>
  <c r="AB324" i="1"/>
  <c r="Z180" i="2"/>
  <c r="Y180" i="2"/>
  <c r="X180" i="2"/>
  <c r="W180" i="2"/>
  <c r="V180" i="2"/>
  <c r="AB163" i="2"/>
  <c r="AB300" i="1"/>
  <c r="AB295" i="1"/>
  <c r="Z164" i="2"/>
  <c r="Y164" i="2"/>
  <c r="X164" i="2"/>
  <c r="W164" i="2"/>
  <c r="V164" i="2"/>
  <c r="AB271" i="1"/>
  <c r="AB266" i="1"/>
  <c r="Z148" i="2"/>
  <c r="Y148" i="2"/>
  <c r="X148" i="2"/>
  <c r="W148" i="2"/>
  <c r="V148" i="2"/>
  <c r="AB242" i="1"/>
  <c r="AB237" i="1"/>
  <c r="Z132" i="2"/>
  <c r="Y132" i="2"/>
  <c r="X132" i="2"/>
  <c r="W132" i="2"/>
  <c r="V132" i="2"/>
  <c r="AB214" i="1"/>
  <c r="AB213" i="1"/>
  <c r="AB208" i="1"/>
  <c r="Z116" i="2"/>
  <c r="Y116" i="2"/>
  <c r="X116" i="2"/>
  <c r="W116" i="2"/>
  <c r="V116" i="2"/>
  <c r="AB99" i="2"/>
  <c r="AB184" i="1"/>
  <c r="AB179" i="1"/>
  <c r="Z100" i="2"/>
  <c r="Y100" i="2"/>
  <c r="X100" i="2"/>
  <c r="W100" i="2"/>
  <c r="V100" i="2"/>
  <c r="AB156" i="1"/>
  <c r="AB155" i="1"/>
  <c r="Z84" i="2"/>
  <c r="Y84" i="2"/>
  <c r="X84" i="2"/>
  <c r="W84" i="2"/>
  <c r="V84" i="2"/>
  <c r="AB127" i="1"/>
  <c r="AB126" i="1"/>
  <c r="AB67" i="2"/>
  <c r="Z68" i="2"/>
  <c r="Y68" i="2"/>
  <c r="X68" i="2"/>
  <c r="W68" i="2"/>
  <c r="V68" i="2"/>
  <c r="AB98" i="1"/>
  <c r="AB97" i="1"/>
  <c r="AB92" i="1"/>
  <c r="Z52" i="2"/>
  <c r="Y52" i="2"/>
  <c r="X52" i="2"/>
  <c r="W52" i="2"/>
  <c r="V52" i="2"/>
  <c r="Z36" i="2"/>
  <c r="Y36" i="2"/>
  <c r="X36" i="2"/>
  <c r="W36" i="2"/>
  <c r="V36" i="2"/>
  <c r="AB39" i="1"/>
  <c r="AB68" i="1" s="1"/>
  <c r="AB34" i="1"/>
  <c r="AB63" i="1" s="1"/>
  <c r="Z20" i="2"/>
  <c r="Y20" i="2"/>
  <c r="X20" i="2"/>
  <c r="W20" i="2"/>
  <c r="V20" i="2"/>
  <c r="H5" i="9"/>
  <c r="E7" i="10" s="1"/>
  <c r="V4" i="1"/>
  <c r="AC155" i="10"/>
  <c r="AC154" i="10"/>
  <c r="AC152" i="10"/>
  <c r="AC151" i="10"/>
  <c r="AC149" i="10"/>
  <c r="AC148" i="10"/>
  <c r="AC147" i="10"/>
  <c r="AC146" i="10"/>
  <c r="AC141" i="10"/>
  <c r="AC140" i="10"/>
  <c r="AC139" i="10"/>
  <c r="AC138" i="10"/>
  <c r="AC134" i="10"/>
  <c r="AC133" i="10"/>
  <c r="AC132" i="10"/>
  <c r="AC131" i="10"/>
  <c r="AC130" i="10"/>
  <c r="AC129" i="10"/>
  <c r="AC127" i="10"/>
  <c r="AC126" i="10" s="1"/>
  <c r="AC125" i="10"/>
  <c r="AC124" i="10"/>
  <c r="AC114" i="10"/>
  <c r="AC112" i="10"/>
  <c r="AC111" i="10"/>
  <c r="AC110" i="10"/>
  <c r="AC109" i="10"/>
  <c r="AC108" i="10"/>
  <c r="AC107" i="10"/>
  <c r="AC106" i="10"/>
  <c r="AC104" i="10"/>
  <c r="AC101" i="10"/>
  <c r="AC100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0" i="10"/>
  <c r="AC69" i="10"/>
  <c r="AC68" i="10"/>
  <c r="AC66" i="10"/>
  <c r="AC65" i="10"/>
  <c r="AC64" i="10"/>
  <c r="AC63" i="10"/>
  <c r="AC59" i="10"/>
  <c r="AC58" i="10"/>
  <c r="AC49" i="10"/>
  <c r="AC48" i="10" s="1"/>
  <c r="AC27" i="10"/>
  <c r="AC26" i="10" s="1"/>
  <c r="AC24" i="10"/>
  <c r="AC23" i="10"/>
  <c r="AC21" i="10"/>
  <c r="AC20" i="10" s="1"/>
  <c r="AC19" i="10"/>
  <c r="AC18" i="10"/>
  <c r="AC16" i="10"/>
  <c r="AC15" i="10" s="1"/>
  <c r="AC14" i="10"/>
  <c r="AC13" i="10"/>
  <c r="AC12" i="10"/>
  <c r="AC10" i="10"/>
  <c r="AC9" i="10"/>
  <c r="AC47" i="10"/>
  <c r="AC46" i="10"/>
  <c r="AC45" i="10"/>
  <c r="AC44" i="10"/>
  <c r="AC43" i="10"/>
  <c r="AC41" i="10"/>
  <c r="AC32" i="10"/>
  <c r="AC31" i="10"/>
  <c r="AC153" i="10"/>
  <c r="AC135" i="10"/>
  <c r="AA153" i="10"/>
  <c r="Y153" i="10"/>
  <c r="W153" i="10"/>
  <c r="U153" i="10"/>
  <c r="AA150" i="10"/>
  <c r="Y150" i="10"/>
  <c r="W150" i="10"/>
  <c r="U150" i="10"/>
  <c r="AA137" i="10"/>
  <c r="Y137" i="10"/>
  <c r="W137" i="10"/>
  <c r="U137" i="10"/>
  <c r="AA135" i="10"/>
  <c r="Y135" i="10"/>
  <c r="W135" i="10"/>
  <c r="U135" i="10"/>
  <c r="AA128" i="10"/>
  <c r="Y128" i="10"/>
  <c r="W128" i="10"/>
  <c r="U128" i="10"/>
  <c r="AA126" i="10"/>
  <c r="Y126" i="10"/>
  <c r="W126" i="10"/>
  <c r="U126" i="10"/>
  <c r="AA71" i="10"/>
  <c r="Y71" i="10"/>
  <c r="W71" i="10"/>
  <c r="U71" i="10"/>
  <c r="AA48" i="10"/>
  <c r="Y48" i="10"/>
  <c r="W48" i="10"/>
  <c r="U48" i="10"/>
  <c r="AA26" i="10"/>
  <c r="Y26" i="10"/>
  <c r="W26" i="10"/>
  <c r="U26" i="10"/>
  <c r="AA22" i="10"/>
  <c r="Y22" i="10"/>
  <c r="W22" i="10"/>
  <c r="U22" i="10"/>
  <c r="AA20" i="10"/>
  <c r="Y20" i="10"/>
  <c r="W20" i="10"/>
  <c r="U20" i="10"/>
  <c r="AA17" i="10"/>
  <c r="Y17" i="10"/>
  <c r="W17" i="10"/>
  <c r="U17" i="10"/>
  <c r="AA15" i="10"/>
  <c r="Y15" i="10"/>
  <c r="W15" i="10"/>
  <c r="U15" i="10"/>
  <c r="AA11" i="10"/>
  <c r="Y11" i="10"/>
  <c r="W11" i="10"/>
  <c r="U11" i="10"/>
  <c r="AA8" i="10"/>
  <c r="Y8" i="10"/>
  <c r="W8" i="10"/>
  <c r="U8" i="10"/>
  <c r="S153" i="10"/>
  <c r="Q153" i="10"/>
  <c r="O153" i="10"/>
  <c r="M153" i="10"/>
  <c r="S150" i="10"/>
  <c r="Q150" i="10"/>
  <c r="O150" i="10"/>
  <c r="M150" i="10"/>
  <c r="S137" i="10"/>
  <c r="Q137" i="10"/>
  <c r="O137" i="10"/>
  <c r="M137" i="10"/>
  <c r="S135" i="10"/>
  <c r="Q135" i="10"/>
  <c r="O135" i="10"/>
  <c r="M135" i="10"/>
  <c r="S128" i="10"/>
  <c r="Q128" i="10"/>
  <c r="O128" i="10"/>
  <c r="M128" i="10"/>
  <c r="S126" i="10"/>
  <c r="Q126" i="10"/>
  <c r="O126" i="10"/>
  <c r="M126" i="10"/>
  <c r="S71" i="10"/>
  <c r="Q71" i="10"/>
  <c r="O71" i="10"/>
  <c r="M71" i="10"/>
  <c r="S48" i="10"/>
  <c r="Q48" i="10"/>
  <c r="O48" i="10"/>
  <c r="M48" i="10"/>
  <c r="S26" i="10"/>
  <c r="Q26" i="10"/>
  <c r="O26" i="10"/>
  <c r="M26" i="10"/>
  <c r="S22" i="10"/>
  <c r="Q22" i="10"/>
  <c r="O22" i="10"/>
  <c r="M22" i="10"/>
  <c r="S20" i="10"/>
  <c r="Q20" i="10"/>
  <c r="O20" i="10"/>
  <c r="M20" i="10"/>
  <c r="S17" i="10"/>
  <c r="Q17" i="10"/>
  <c r="O17" i="10"/>
  <c r="M17" i="10"/>
  <c r="S15" i="10"/>
  <c r="Q15" i="10"/>
  <c r="O15" i="10"/>
  <c r="M15" i="10"/>
  <c r="S11" i="10"/>
  <c r="Q11" i="10"/>
  <c r="O11" i="10"/>
  <c r="M11" i="10"/>
  <c r="S8" i="10"/>
  <c r="Q8" i="10"/>
  <c r="O8" i="10"/>
  <c r="M8" i="10"/>
  <c r="K153" i="10"/>
  <c r="I153" i="10"/>
  <c r="K150" i="10"/>
  <c r="I150" i="10"/>
  <c r="K137" i="10"/>
  <c r="I137" i="10"/>
  <c r="K135" i="10"/>
  <c r="I135" i="10"/>
  <c r="K128" i="10"/>
  <c r="I128" i="10"/>
  <c r="K126" i="10"/>
  <c r="I126" i="10"/>
  <c r="K71" i="10"/>
  <c r="I71" i="10"/>
  <c r="K48" i="10"/>
  <c r="I48" i="10"/>
  <c r="K26" i="10"/>
  <c r="I26" i="10"/>
  <c r="K22" i="10"/>
  <c r="I22" i="10"/>
  <c r="K20" i="10"/>
  <c r="I20" i="10"/>
  <c r="K17" i="10"/>
  <c r="I17" i="10"/>
  <c r="K15" i="10"/>
  <c r="I15" i="10"/>
  <c r="K11" i="10"/>
  <c r="I11" i="10"/>
  <c r="K8" i="10"/>
  <c r="I8" i="10"/>
  <c r="G153" i="10"/>
  <c r="G150" i="10"/>
  <c r="G137" i="10"/>
  <c r="G135" i="10"/>
  <c r="G128" i="10"/>
  <c r="G126" i="10"/>
  <c r="G71" i="10"/>
  <c r="G48" i="10"/>
  <c r="G26" i="10"/>
  <c r="G22" i="10"/>
  <c r="G20" i="10"/>
  <c r="G17" i="10"/>
  <c r="G15" i="10"/>
  <c r="G11" i="10"/>
  <c r="G8" i="10"/>
  <c r="E48" i="10"/>
  <c r="E26" i="10"/>
  <c r="E20" i="10"/>
  <c r="E15" i="10"/>
  <c r="E153" i="10"/>
  <c r="E150" i="10"/>
  <c r="E137" i="10"/>
  <c r="E126" i="10"/>
  <c r="AB83" i="2" l="1"/>
  <c r="AB179" i="2"/>
  <c r="AB131" i="2"/>
  <c r="AB121" i="1"/>
  <c r="AB301" i="1"/>
  <c r="AB147" i="2"/>
  <c r="AB243" i="1"/>
  <c r="AB185" i="1"/>
  <c r="AB19" i="2"/>
  <c r="AB150" i="1"/>
  <c r="AB330" i="1"/>
  <c r="AB40" i="1"/>
  <c r="AB69" i="1" s="1"/>
  <c r="AB61" i="1" s="1"/>
  <c r="AB51" i="2"/>
  <c r="AB272" i="1"/>
  <c r="AH206" i="11"/>
  <c r="J48" i="9" s="1"/>
  <c r="S6" i="10" s="1"/>
  <c r="AH148" i="11"/>
  <c r="H48" i="9" s="1"/>
  <c r="O6" i="10" s="1"/>
  <c r="AC17" i="10"/>
  <c r="AC150" i="10"/>
  <c r="AC60" i="10"/>
  <c r="AC61" i="10"/>
  <c r="V207" i="1"/>
  <c r="V294" i="1"/>
  <c r="V62" i="1"/>
  <c r="V149" i="1"/>
  <c r="V236" i="1"/>
  <c r="V323" i="1"/>
  <c r="V91" i="1"/>
  <c r="V120" i="1" s="1"/>
  <c r="V178" i="1"/>
  <c r="V265" i="1"/>
  <c r="V33" i="1"/>
  <c r="AC137" i="10"/>
  <c r="AC11" i="10"/>
  <c r="AC22" i="10"/>
  <c r="AC7" i="10"/>
  <c r="AC128" i="10"/>
  <c r="AC71" i="10"/>
  <c r="AC8" i="10"/>
  <c r="AB90" i="1"/>
  <c r="AB119" i="1"/>
  <c r="AH293" i="11"/>
  <c r="M48" i="9" s="1"/>
  <c r="Y6" i="10" s="1"/>
  <c r="AH119" i="11"/>
  <c r="G48" i="9" s="1"/>
  <c r="M6" i="10" s="1"/>
  <c r="AH264" i="11"/>
  <c r="L48" i="9" s="1"/>
  <c r="W6" i="10" s="1"/>
  <c r="AH332" i="11"/>
  <c r="AH333" i="11"/>
  <c r="AH334" i="11"/>
  <c r="AH248" i="11"/>
  <c r="AH244" i="11"/>
  <c r="AH247" i="11"/>
  <c r="AH245" i="11"/>
  <c r="AH246" i="11"/>
  <c r="AH177" i="11"/>
  <c r="I48" i="9" s="1"/>
  <c r="Q6" i="10" s="1"/>
  <c r="AH90" i="11"/>
  <c r="F48" i="9" s="1"/>
  <c r="K6" i="10" s="1"/>
  <c r="AH61" i="11"/>
  <c r="E48" i="9" s="1"/>
  <c r="I6" i="10" s="1"/>
  <c r="AH32" i="11"/>
  <c r="D48" i="9" s="1"/>
  <c r="G6" i="10" s="1"/>
  <c r="AB115" i="2"/>
  <c r="AB35" i="2"/>
  <c r="E71" i="10"/>
  <c r="E135" i="10"/>
  <c r="E11" i="10"/>
  <c r="E22" i="10"/>
  <c r="E17" i="10"/>
  <c r="E128" i="10"/>
  <c r="E8" i="10"/>
  <c r="C66" i="6"/>
  <c r="D29" i="6"/>
  <c r="AH6" i="11"/>
  <c r="AH7" i="11"/>
  <c r="AH8" i="11"/>
  <c r="AH9" i="11"/>
  <c r="AH11" i="11"/>
  <c r="AH12" i="11"/>
  <c r="AH13" i="11"/>
  <c r="AH14" i="11"/>
  <c r="AH15" i="11"/>
  <c r="AH16" i="11"/>
  <c r="AH17" i="11"/>
  <c r="AH18" i="11"/>
  <c r="AH19" i="11"/>
  <c r="AH20" i="11"/>
  <c r="AH21" i="11"/>
  <c r="AH22" i="11"/>
  <c r="AH23" i="11"/>
  <c r="AH24" i="11"/>
  <c r="AH25" i="11"/>
  <c r="AH27" i="11"/>
  <c r="A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5" i="11"/>
  <c r="H34" i="11" s="1"/>
  <c r="H63" i="11" s="1"/>
  <c r="H92" i="11" s="1"/>
  <c r="H121" i="11" s="1"/>
  <c r="H150" i="11" s="1"/>
  <c r="H179" i="11" s="1"/>
  <c r="H208" i="11" s="1"/>
  <c r="H237" i="11" s="1"/>
  <c r="H266" i="11" s="1"/>
  <c r="H295" i="11" s="1"/>
  <c r="H324" i="11" s="1"/>
  <c r="F6" i="11"/>
  <c r="F35" i="11" s="1"/>
  <c r="F64" i="11" s="1"/>
  <c r="F93" i="11" s="1"/>
  <c r="F122" i="11" s="1"/>
  <c r="F151" i="11" s="1"/>
  <c r="F180" i="11" s="1"/>
  <c r="F209" i="11" s="1"/>
  <c r="F238" i="11" s="1"/>
  <c r="F267" i="11" s="1"/>
  <c r="F296" i="11" s="1"/>
  <c r="F325" i="11" s="1"/>
  <c r="F7" i="11"/>
  <c r="F36" i="11" s="1"/>
  <c r="F65" i="11" s="1"/>
  <c r="F94" i="11" s="1"/>
  <c r="F123" i="11" s="1"/>
  <c r="F152" i="11" s="1"/>
  <c r="F181" i="11" s="1"/>
  <c r="F210" i="11" s="1"/>
  <c r="F239" i="11" s="1"/>
  <c r="F268" i="11" s="1"/>
  <c r="F297" i="11" s="1"/>
  <c r="F326" i="11" s="1"/>
  <c r="F8" i="11"/>
  <c r="F37" i="11" s="1"/>
  <c r="F66" i="11" s="1"/>
  <c r="F95" i="11" s="1"/>
  <c r="F124" i="11" s="1"/>
  <c r="F153" i="11" s="1"/>
  <c r="F182" i="11" s="1"/>
  <c r="F211" i="11" s="1"/>
  <c r="F240" i="11" s="1"/>
  <c r="F269" i="11" s="1"/>
  <c r="F298" i="11" s="1"/>
  <c r="F327" i="11" s="1"/>
  <c r="F9" i="11"/>
  <c r="F38" i="11" s="1"/>
  <c r="F67" i="11" s="1"/>
  <c r="F96" i="11" s="1"/>
  <c r="F125" i="11" s="1"/>
  <c r="F154" i="11" s="1"/>
  <c r="F183" i="11" s="1"/>
  <c r="F212" i="11" s="1"/>
  <c r="F241" i="11" s="1"/>
  <c r="F270" i="11" s="1"/>
  <c r="F299" i="11" s="1"/>
  <c r="F328" i="11" s="1"/>
  <c r="F10" i="11"/>
  <c r="F39" i="11" s="1"/>
  <c r="F68" i="11" s="1"/>
  <c r="F97" i="11" s="1"/>
  <c r="F126" i="11" s="1"/>
  <c r="F155" i="11" s="1"/>
  <c r="F184" i="11" s="1"/>
  <c r="F213" i="11" s="1"/>
  <c r="F242" i="11" s="1"/>
  <c r="F271" i="11" s="1"/>
  <c r="F300" i="11" s="1"/>
  <c r="F329" i="11" s="1"/>
  <c r="F11" i="11"/>
  <c r="F40" i="11" s="1"/>
  <c r="F69" i="11" s="1"/>
  <c r="F98" i="11" s="1"/>
  <c r="F127" i="11" s="1"/>
  <c r="F156" i="11" s="1"/>
  <c r="F185" i="11" s="1"/>
  <c r="F214" i="11" s="1"/>
  <c r="F243" i="11" s="1"/>
  <c r="F272" i="11" s="1"/>
  <c r="F301" i="11" s="1"/>
  <c r="F330" i="11" s="1"/>
  <c r="F12" i="11"/>
  <c r="F41" i="11" s="1"/>
  <c r="F70" i="11" s="1"/>
  <c r="F99" i="11" s="1"/>
  <c r="F128" i="11" s="1"/>
  <c r="F157" i="11" s="1"/>
  <c r="F186" i="11" s="1"/>
  <c r="F215" i="11" s="1"/>
  <c r="F244" i="11" s="1"/>
  <c r="F273" i="11" s="1"/>
  <c r="F302" i="11" s="1"/>
  <c r="F331" i="11" s="1"/>
  <c r="F13" i="11"/>
  <c r="F42" i="11" s="1"/>
  <c r="F71" i="11" s="1"/>
  <c r="F100" i="11" s="1"/>
  <c r="F129" i="11" s="1"/>
  <c r="F158" i="11" s="1"/>
  <c r="F187" i="11" s="1"/>
  <c r="F216" i="11" s="1"/>
  <c r="F245" i="11" s="1"/>
  <c r="F274" i="11" s="1"/>
  <c r="F303" i="11" s="1"/>
  <c r="F332" i="11" s="1"/>
  <c r="F14" i="11"/>
  <c r="F43" i="11" s="1"/>
  <c r="F72" i="11" s="1"/>
  <c r="F101" i="11" s="1"/>
  <c r="F130" i="11" s="1"/>
  <c r="F159" i="11" s="1"/>
  <c r="F188" i="11" s="1"/>
  <c r="F217" i="11" s="1"/>
  <c r="F246" i="11" s="1"/>
  <c r="F275" i="11" s="1"/>
  <c r="F304" i="11" s="1"/>
  <c r="F333" i="11" s="1"/>
  <c r="F15" i="11"/>
  <c r="F44" i="11" s="1"/>
  <c r="F73" i="11" s="1"/>
  <c r="F102" i="11" s="1"/>
  <c r="F131" i="11" s="1"/>
  <c r="F160" i="11" s="1"/>
  <c r="F189" i="11" s="1"/>
  <c r="F218" i="11" s="1"/>
  <c r="F247" i="11" s="1"/>
  <c r="F276" i="11" s="1"/>
  <c r="F305" i="11" s="1"/>
  <c r="F334" i="11" s="1"/>
  <c r="F16" i="11"/>
  <c r="F45" i="11" s="1"/>
  <c r="F74" i="11" s="1"/>
  <c r="F103" i="11" s="1"/>
  <c r="F132" i="11" s="1"/>
  <c r="F161" i="11" s="1"/>
  <c r="F190" i="11" s="1"/>
  <c r="F219" i="11" s="1"/>
  <c r="F248" i="11" s="1"/>
  <c r="F277" i="11" s="1"/>
  <c r="F306" i="11" s="1"/>
  <c r="F335" i="11" s="1"/>
  <c r="F17" i="11"/>
  <c r="F46" i="11" s="1"/>
  <c r="F75" i="11" s="1"/>
  <c r="F104" i="11" s="1"/>
  <c r="F133" i="11" s="1"/>
  <c r="F162" i="11" s="1"/>
  <c r="F191" i="11" s="1"/>
  <c r="F220" i="11" s="1"/>
  <c r="F249" i="11" s="1"/>
  <c r="F278" i="11" s="1"/>
  <c r="F307" i="11" s="1"/>
  <c r="F336" i="11" s="1"/>
  <c r="F18" i="11"/>
  <c r="F47" i="11" s="1"/>
  <c r="F76" i="11" s="1"/>
  <c r="F105" i="11" s="1"/>
  <c r="F134" i="11" s="1"/>
  <c r="F163" i="11" s="1"/>
  <c r="F192" i="11" s="1"/>
  <c r="F221" i="11" s="1"/>
  <c r="F250" i="11" s="1"/>
  <c r="F279" i="11" s="1"/>
  <c r="F308" i="11" s="1"/>
  <c r="F337" i="11" s="1"/>
  <c r="F19" i="11"/>
  <c r="F48" i="11" s="1"/>
  <c r="F77" i="11" s="1"/>
  <c r="F106" i="11" s="1"/>
  <c r="F135" i="11" s="1"/>
  <c r="F164" i="11" s="1"/>
  <c r="F193" i="11" s="1"/>
  <c r="F222" i="11" s="1"/>
  <c r="F251" i="11" s="1"/>
  <c r="F280" i="11" s="1"/>
  <c r="F309" i="11" s="1"/>
  <c r="F338" i="11" s="1"/>
  <c r="F20" i="11"/>
  <c r="F49" i="11" s="1"/>
  <c r="F78" i="11" s="1"/>
  <c r="F107" i="11" s="1"/>
  <c r="F136" i="11" s="1"/>
  <c r="F165" i="11" s="1"/>
  <c r="F194" i="11" s="1"/>
  <c r="F223" i="11" s="1"/>
  <c r="F252" i="11" s="1"/>
  <c r="F281" i="11" s="1"/>
  <c r="F310" i="11" s="1"/>
  <c r="F339" i="11" s="1"/>
  <c r="F21" i="11"/>
  <c r="F50" i="11" s="1"/>
  <c r="F79" i="11" s="1"/>
  <c r="F108" i="11" s="1"/>
  <c r="F137" i="11" s="1"/>
  <c r="F166" i="11" s="1"/>
  <c r="F195" i="11" s="1"/>
  <c r="F224" i="11" s="1"/>
  <c r="F253" i="11" s="1"/>
  <c r="F282" i="11" s="1"/>
  <c r="F311" i="11" s="1"/>
  <c r="F340" i="11" s="1"/>
  <c r="F22" i="11"/>
  <c r="F51" i="11" s="1"/>
  <c r="F80" i="11" s="1"/>
  <c r="F109" i="11" s="1"/>
  <c r="F138" i="11" s="1"/>
  <c r="F167" i="11" s="1"/>
  <c r="F196" i="11" s="1"/>
  <c r="F225" i="11" s="1"/>
  <c r="F254" i="11" s="1"/>
  <c r="F283" i="11" s="1"/>
  <c r="F312" i="11" s="1"/>
  <c r="F341" i="11" s="1"/>
  <c r="F23" i="11"/>
  <c r="F52" i="11" s="1"/>
  <c r="F81" i="11" s="1"/>
  <c r="F110" i="11" s="1"/>
  <c r="F139" i="11" s="1"/>
  <c r="F168" i="11" s="1"/>
  <c r="F197" i="11" s="1"/>
  <c r="F226" i="11" s="1"/>
  <c r="F255" i="11" s="1"/>
  <c r="F284" i="11" s="1"/>
  <c r="F313" i="11" s="1"/>
  <c r="F342" i="11" s="1"/>
  <c r="F24" i="11"/>
  <c r="F53" i="11" s="1"/>
  <c r="F82" i="11" s="1"/>
  <c r="F111" i="11" s="1"/>
  <c r="F140" i="11" s="1"/>
  <c r="F169" i="11" s="1"/>
  <c r="F198" i="11" s="1"/>
  <c r="F227" i="11" s="1"/>
  <c r="F256" i="11" s="1"/>
  <c r="F285" i="11" s="1"/>
  <c r="F314" i="11" s="1"/>
  <c r="F343" i="11" s="1"/>
  <c r="F25" i="11"/>
  <c r="F54" i="11" s="1"/>
  <c r="F83" i="11" s="1"/>
  <c r="F112" i="11" s="1"/>
  <c r="F141" i="11" s="1"/>
  <c r="F170" i="11" s="1"/>
  <c r="F199" i="11" s="1"/>
  <c r="F228" i="11" s="1"/>
  <c r="F257" i="11" s="1"/>
  <c r="F286" i="11" s="1"/>
  <c r="F315" i="11" s="1"/>
  <c r="F344" i="11" s="1"/>
  <c r="F26" i="11"/>
  <c r="F55" i="11" s="1"/>
  <c r="F84" i="11" s="1"/>
  <c r="F113" i="11" s="1"/>
  <c r="F142" i="11" s="1"/>
  <c r="F171" i="11" s="1"/>
  <c r="F200" i="11" s="1"/>
  <c r="F229" i="11" s="1"/>
  <c r="F258" i="11" s="1"/>
  <c r="F287" i="11" s="1"/>
  <c r="F316" i="11" s="1"/>
  <c r="F345" i="11" s="1"/>
  <c r="F27" i="11"/>
  <c r="F56" i="11" s="1"/>
  <c r="F85" i="11" s="1"/>
  <c r="F114" i="11" s="1"/>
  <c r="F143" i="11" s="1"/>
  <c r="F172" i="11" s="1"/>
  <c r="F201" i="11" s="1"/>
  <c r="F230" i="11" s="1"/>
  <c r="F259" i="11" s="1"/>
  <c r="F288" i="11" s="1"/>
  <c r="F317" i="11" s="1"/>
  <c r="F346" i="11" s="1"/>
  <c r="F5" i="11"/>
  <c r="F34" i="11" s="1"/>
  <c r="F63" i="11" s="1"/>
  <c r="F92" i="11" s="1"/>
  <c r="F121" i="11" s="1"/>
  <c r="F150" i="11" s="1"/>
  <c r="F179" i="11" s="1"/>
  <c r="F208" i="11" s="1"/>
  <c r="F237" i="11" s="1"/>
  <c r="F266" i="11" s="1"/>
  <c r="F295" i="11" s="1"/>
  <c r="F324" i="11" s="1"/>
  <c r="E6" i="11"/>
  <c r="E35" i="11" s="1"/>
  <c r="E64" i="11" s="1"/>
  <c r="E93" i="11" s="1"/>
  <c r="E122" i="11" s="1"/>
  <c r="E151" i="11" s="1"/>
  <c r="E180" i="11" s="1"/>
  <c r="E209" i="11" s="1"/>
  <c r="E238" i="11" s="1"/>
  <c r="E267" i="11" s="1"/>
  <c r="E296" i="11" s="1"/>
  <c r="E325" i="11" s="1"/>
  <c r="E7" i="11"/>
  <c r="E36" i="11" s="1"/>
  <c r="E65" i="11" s="1"/>
  <c r="E94" i="11" s="1"/>
  <c r="E123" i="11" s="1"/>
  <c r="E152" i="11" s="1"/>
  <c r="E181" i="11" s="1"/>
  <c r="E210" i="11" s="1"/>
  <c r="E239" i="11" s="1"/>
  <c r="E268" i="11" s="1"/>
  <c r="E297" i="11" s="1"/>
  <c r="E326" i="11" s="1"/>
  <c r="E8" i="11"/>
  <c r="E37" i="11" s="1"/>
  <c r="E66" i="11" s="1"/>
  <c r="E95" i="11" s="1"/>
  <c r="E124" i="11" s="1"/>
  <c r="E153" i="11" s="1"/>
  <c r="E182" i="11" s="1"/>
  <c r="E211" i="11" s="1"/>
  <c r="E240" i="11" s="1"/>
  <c r="E269" i="11" s="1"/>
  <c r="E298" i="11" s="1"/>
  <c r="E327" i="11" s="1"/>
  <c r="E9" i="11"/>
  <c r="E38" i="11" s="1"/>
  <c r="E67" i="11" s="1"/>
  <c r="E96" i="11" s="1"/>
  <c r="E125" i="11" s="1"/>
  <c r="E154" i="11" s="1"/>
  <c r="E183" i="11" s="1"/>
  <c r="E212" i="11" s="1"/>
  <c r="E241" i="11" s="1"/>
  <c r="E270" i="11" s="1"/>
  <c r="E299" i="11" s="1"/>
  <c r="E328" i="11" s="1"/>
  <c r="E10" i="11"/>
  <c r="E39" i="11" s="1"/>
  <c r="E68" i="11" s="1"/>
  <c r="E97" i="11" s="1"/>
  <c r="E126" i="11" s="1"/>
  <c r="E155" i="11" s="1"/>
  <c r="E184" i="11" s="1"/>
  <c r="E213" i="11" s="1"/>
  <c r="E242" i="11" s="1"/>
  <c r="E271" i="11" s="1"/>
  <c r="E300" i="11" s="1"/>
  <c r="E329" i="11" s="1"/>
  <c r="E11" i="11"/>
  <c r="E40" i="11" s="1"/>
  <c r="E69" i="11" s="1"/>
  <c r="E98" i="11" s="1"/>
  <c r="E127" i="11" s="1"/>
  <c r="E156" i="11" s="1"/>
  <c r="E185" i="11" s="1"/>
  <c r="E214" i="11" s="1"/>
  <c r="E243" i="11" s="1"/>
  <c r="E272" i="11" s="1"/>
  <c r="E301" i="11" s="1"/>
  <c r="E330" i="11" s="1"/>
  <c r="E12" i="11"/>
  <c r="E41" i="11" s="1"/>
  <c r="E70" i="11" s="1"/>
  <c r="E99" i="11" s="1"/>
  <c r="E128" i="11" s="1"/>
  <c r="E157" i="11" s="1"/>
  <c r="E186" i="11" s="1"/>
  <c r="E215" i="11" s="1"/>
  <c r="E244" i="11" s="1"/>
  <c r="E273" i="11" s="1"/>
  <c r="E302" i="11" s="1"/>
  <c r="E331" i="11" s="1"/>
  <c r="E13" i="11"/>
  <c r="E42" i="11" s="1"/>
  <c r="E71" i="11" s="1"/>
  <c r="E100" i="11" s="1"/>
  <c r="E129" i="11" s="1"/>
  <c r="E158" i="11" s="1"/>
  <c r="E187" i="11" s="1"/>
  <c r="E216" i="11" s="1"/>
  <c r="E245" i="11" s="1"/>
  <c r="E274" i="11" s="1"/>
  <c r="E303" i="11" s="1"/>
  <c r="E332" i="11" s="1"/>
  <c r="E14" i="11"/>
  <c r="E43" i="11" s="1"/>
  <c r="E72" i="11" s="1"/>
  <c r="E101" i="11" s="1"/>
  <c r="E130" i="11" s="1"/>
  <c r="E159" i="11" s="1"/>
  <c r="E188" i="11" s="1"/>
  <c r="E217" i="11" s="1"/>
  <c r="E246" i="11" s="1"/>
  <c r="E275" i="11" s="1"/>
  <c r="E304" i="11" s="1"/>
  <c r="E333" i="11" s="1"/>
  <c r="E15" i="11"/>
  <c r="E44" i="11" s="1"/>
  <c r="E73" i="11" s="1"/>
  <c r="E102" i="11" s="1"/>
  <c r="E131" i="11" s="1"/>
  <c r="E160" i="11" s="1"/>
  <c r="E189" i="11" s="1"/>
  <c r="E218" i="11" s="1"/>
  <c r="E247" i="11" s="1"/>
  <c r="E276" i="11" s="1"/>
  <c r="E305" i="11" s="1"/>
  <c r="E334" i="11" s="1"/>
  <c r="E16" i="11"/>
  <c r="E45" i="11" s="1"/>
  <c r="E74" i="11" s="1"/>
  <c r="E103" i="11" s="1"/>
  <c r="E132" i="11" s="1"/>
  <c r="E161" i="11" s="1"/>
  <c r="E190" i="11" s="1"/>
  <c r="E219" i="11" s="1"/>
  <c r="E248" i="11" s="1"/>
  <c r="E277" i="11" s="1"/>
  <c r="E306" i="11" s="1"/>
  <c r="E335" i="11" s="1"/>
  <c r="E17" i="11"/>
  <c r="E46" i="11" s="1"/>
  <c r="E75" i="11" s="1"/>
  <c r="E104" i="11" s="1"/>
  <c r="E133" i="11" s="1"/>
  <c r="E162" i="11" s="1"/>
  <c r="E191" i="11" s="1"/>
  <c r="E220" i="11" s="1"/>
  <c r="E249" i="11" s="1"/>
  <c r="E278" i="11" s="1"/>
  <c r="E307" i="11" s="1"/>
  <c r="E336" i="11" s="1"/>
  <c r="E18" i="11"/>
  <c r="E47" i="11" s="1"/>
  <c r="E76" i="11" s="1"/>
  <c r="E105" i="11" s="1"/>
  <c r="E134" i="11" s="1"/>
  <c r="E163" i="11" s="1"/>
  <c r="E192" i="11" s="1"/>
  <c r="E221" i="11" s="1"/>
  <c r="E250" i="11" s="1"/>
  <c r="E279" i="11" s="1"/>
  <c r="E308" i="11" s="1"/>
  <c r="E337" i="11" s="1"/>
  <c r="E19" i="11"/>
  <c r="E48" i="11" s="1"/>
  <c r="E77" i="11" s="1"/>
  <c r="E106" i="11" s="1"/>
  <c r="E135" i="11" s="1"/>
  <c r="E164" i="11" s="1"/>
  <c r="E193" i="11" s="1"/>
  <c r="E222" i="11" s="1"/>
  <c r="E251" i="11" s="1"/>
  <c r="E280" i="11" s="1"/>
  <c r="E309" i="11" s="1"/>
  <c r="E338" i="11" s="1"/>
  <c r="E20" i="11"/>
  <c r="E49" i="11" s="1"/>
  <c r="E78" i="11" s="1"/>
  <c r="E107" i="11" s="1"/>
  <c r="E136" i="11" s="1"/>
  <c r="E165" i="11" s="1"/>
  <c r="E194" i="11" s="1"/>
  <c r="E223" i="11" s="1"/>
  <c r="E252" i="11" s="1"/>
  <c r="E281" i="11" s="1"/>
  <c r="E310" i="11" s="1"/>
  <c r="E339" i="11" s="1"/>
  <c r="E21" i="11"/>
  <c r="E50" i="11" s="1"/>
  <c r="E79" i="11" s="1"/>
  <c r="E108" i="11" s="1"/>
  <c r="E137" i="11" s="1"/>
  <c r="E166" i="11" s="1"/>
  <c r="E195" i="11" s="1"/>
  <c r="E224" i="11" s="1"/>
  <c r="E253" i="11" s="1"/>
  <c r="E282" i="11" s="1"/>
  <c r="E311" i="11" s="1"/>
  <c r="E340" i="11" s="1"/>
  <c r="E22" i="11"/>
  <c r="E51" i="11" s="1"/>
  <c r="E80" i="11" s="1"/>
  <c r="E109" i="11" s="1"/>
  <c r="E138" i="11" s="1"/>
  <c r="E167" i="11" s="1"/>
  <c r="E196" i="11" s="1"/>
  <c r="E225" i="11" s="1"/>
  <c r="E254" i="11" s="1"/>
  <c r="E283" i="11" s="1"/>
  <c r="E312" i="11" s="1"/>
  <c r="E341" i="11" s="1"/>
  <c r="E23" i="11"/>
  <c r="E52" i="11" s="1"/>
  <c r="E81" i="11" s="1"/>
  <c r="E110" i="11" s="1"/>
  <c r="E139" i="11" s="1"/>
  <c r="E168" i="11" s="1"/>
  <c r="E197" i="11" s="1"/>
  <c r="E226" i="11" s="1"/>
  <c r="E255" i="11" s="1"/>
  <c r="E284" i="11" s="1"/>
  <c r="E313" i="11" s="1"/>
  <c r="E342" i="11" s="1"/>
  <c r="E24" i="11"/>
  <c r="E53" i="11" s="1"/>
  <c r="E82" i="11" s="1"/>
  <c r="E111" i="11" s="1"/>
  <c r="E140" i="11" s="1"/>
  <c r="E169" i="11" s="1"/>
  <c r="E198" i="11" s="1"/>
  <c r="E227" i="11" s="1"/>
  <c r="E256" i="11" s="1"/>
  <c r="E285" i="11" s="1"/>
  <c r="E314" i="11" s="1"/>
  <c r="E343" i="11" s="1"/>
  <c r="E25" i="11"/>
  <c r="E54" i="11" s="1"/>
  <c r="E83" i="11" s="1"/>
  <c r="E112" i="11" s="1"/>
  <c r="E141" i="11" s="1"/>
  <c r="E170" i="11" s="1"/>
  <c r="E199" i="11" s="1"/>
  <c r="E228" i="11" s="1"/>
  <c r="E257" i="11" s="1"/>
  <c r="E286" i="11" s="1"/>
  <c r="E315" i="11" s="1"/>
  <c r="E344" i="11" s="1"/>
  <c r="E26" i="11"/>
  <c r="E55" i="11" s="1"/>
  <c r="E84" i="11" s="1"/>
  <c r="E113" i="11" s="1"/>
  <c r="E142" i="11" s="1"/>
  <c r="E171" i="11" s="1"/>
  <c r="E200" i="11" s="1"/>
  <c r="E229" i="11" s="1"/>
  <c r="E258" i="11" s="1"/>
  <c r="E287" i="11" s="1"/>
  <c r="E316" i="11" s="1"/>
  <c r="E345" i="11" s="1"/>
  <c r="E27" i="11"/>
  <c r="E56" i="11" s="1"/>
  <c r="E85" i="11" s="1"/>
  <c r="E114" i="11" s="1"/>
  <c r="E143" i="11" s="1"/>
  <c r="E172" i="11" s="1"/>
  <c r="E201" i="11" s="1"/>
  <c r="E230" i="11" s="1"/>
  <c r="E259" i="11" s="1"/>
  <c r="E288" i="11" s="1"/>
  <c r="E317" i="11" s="1"/>
  <c r="E346" i="11" s="1"/>
  <c r="E5" i="11"/>
  <c r="E34" i="11" s="1"/>
  <c r="E63" i="11" s="1"/>
  <c r="E92" i="11" s="1"/>
  <c r="E121" i="11" s="1"/>
  <c r="E150" i="11" s="1"/>
  <c r="E179" i="11" s="1"/>
  <c r="E208" i="11" s="1"/>
  <c r="E237" i="11" s="1"/>
  <c r="E266" i="11" s="1"/>
  <c r="E295" i="11" s="1"/>
  <c r="E324" i="11" s="1"/>
  <c r="D6" i="11"/>
  <c r="D35" i="11" s="1"/>
  <c r="D64" i="11" s="1"/>
  <c r="D93" i="11" s="1"/>
  <c r="D122" i="11" s="1"/>
  <c r="D151" i="11" s="1"/>
  <c r="D180" i="11" s="1"/>
  <c r="D209" i="11" s="1"/>
  <c r="D238" i="11" s="1"/>
  <c r="D267" i="11" s="1"/>
  <c r="D296" i="11" s="1"/>
  <c r="D325" i="11" s="1"/>
  <c r="D7" i="11"/>
  <c r="D36" i="11" s="1"/>
  <c r="D65" i="11" s="1"/>
  <c r="D94" i="11" s="1"/>
  <c r="D123" i="11" s="1"/>
  <c r="D152" i="11" s="1"/>
  <c r="D181" i="11" s="1"/>
  <c r="D210" i="11" s="1"/>
  <c r="D239" i="11" s="1"/>
  <c r="D268" i="11" s="1"/>
  <c r="D297" i="11" s="1"/>
  <c r="D326" i="11" s="1"/>
  <c r="D8" i="11"/>
  <c r="D37" i="11" s="1"/>
  <c r="D66" i="11" s="1"/>
  <c r="D95" i="11" s="1"/>
  <c r="D124" i="11" s="1"/>
  <c r="D153" i="11" s="1"/>
  <c r="D182" i="11" s="1"/>
  <c r="D211" i="11" s="1"/>
  <c r="D240" i="11" s="1"/>
  <c r="D269" i="11" s="1"/>
  <c r="D298" i="11" s="1"/>
  <c r="D327" i="11" s="1"/>
  <c r="D9" i="11"/>
  <c r="D38" i="11" s="1"/>
  <c r="D67" i="11" s="1"/>
  <c r="D96" i="11" s="1"/>
  <c r="D125" i="11" s="1"/>
  <c r="D154" i="11" s="1"/>
  <c r="D183" i="11" s="1"/>
  <c r="D212" i="11" s="1"/>
  <c r="D241" i="11" s="1"/>
  <c r="D270" i="11" s="1"/>
  <c r="D299" i="11" s="1"/>
  <c r="D328" i="11" s="1"/>
  <c r="D10" i="11"/>
  <c r="D39" i="11" s="1"/>
  <c r="D68" i="11" s="1"/>
  <c r="D97" i="11" s="1"/>
  <c r="D126" i="11" s="1"/>
  <c r="D155" i="11" s="1"/>
  <c r="D184" i="11" s="1"/>
  <c r="D213" i="11" s="1"/>
  <c r="D242" i="11" s="1"/>
  <c r="D271" i="11" s="1"/>
  <c r="D300" i="11" s="1"/>
  <c r="D329" i="11" s="1"/>
  <c r="D11" i="11"/>
  <c r="D40" i="11" s="1"/>
  <c r="D69" i="11" s="1"/>
  <c r="D98" i="11" s="1"/>
  <c r="D127" i="11" s="1"/>
  <c r="D156" i="11" s="1"/>
  <c r="D185" i="11" s="1"/>
  <c r="D214" i="11" s="1"/>
  <c r="D243" i="11" s="1"/>
  <c r="D272" i="11" s="1"/>
  <c r="D301" i="11" s="1"/>
  <c r="D330" i="11" s="1"/>
  <c r="D12" i="11"/>
  <c r="D41" i="11" s="1"/>
  <c r="D70" i="11" s="1"/>
  <c r="D99" i="11" s="1"/>
  <c r="D128" i="11" s="1"/>
  <c r="D157" i="11" s="1"/>
  <c r="D186" i="11" s="1"/>
  <c r="D215" i="11" s="1"/>
  <c r="D244" i="11" s="1"/>
  <c r="D273" i="11" s="1"/>
  <c r="D302" i="11" s="1"/>
  <c r="D331" i="11" s="1"/>
  <c r="D13" i="11"/>
  <c r="D42" i="11" s="1"/>
  <c r="D71" i="11" s="1"/>
  <c r="D100" i="11" s="1"/>
  <c r="D129" i="11" s="1"/>
  <c r="D158" i="11" s="1"/>
  <c r="D187" i="11" s="1"/>
  <c r="D216" i="11" s="1"/>
  <c r="D245" i="11" s="1"/>
  <c r="D274" i="11" s="1"/>
  <c r="D303" i="11" s="1"/>
  <c r="D332" i="11" s="1"/>
  <c r="D14" i="11"/>
  <c r="D43" i="11" s="1"/>
  <c r="D72" i="11" s="1"/>
  <c r="D101" i="11" s="1"/>
  <c r="D130" i="11" s="1"/>
  <c r="D159" i="11" s="1"/>
  <c r="D188" i="11" s="1"/>
  <c r="D217" i="11" s="1"/>
  <c r="D246" i="11" s="1"/>
  <c r="D275" i="11" s="1"/>
  <c r="D304" i="11" s="1"/>
  <c r="D333" i="11" s="1"/>
  <c r="D15" i="11"/>
  <c r="D44" i="11" s="1"/>
  <c r="D73" i="11" s="1"/>
  <c r="D102" i="11" s="1"/>
  <c r="D131" i="11" s="1"/>
  <c r="D160" i="11" s="1"/>
  <c r="D189" i="11" s="1"/>
  <c r="D218" i="11" s="1"/>
  <c r="D247" i="11" s="1"/>
  <c r="D276" i="11" s="1"/>
  <c r="D305" i="11" s="1"/>
  <c r="D334" i="11" s="1"/>
  <c r="D16" i="11"/>
  <c r="D45" i="11" s="1"/>
  <c r="D74" i="11" s="1"/>
  <c r="D103" i="11" s="1"/>
  <c r="D132" i="11" s="1"/>
  <c r="D161" i="11" s="1"/>
  <c r="D190" i="11" s="1"/>
  <c r="D219" i="11" s="1"/>
  <c r="D248" i="11" s="1"/>
  <c r="D277" i="11" s="1"/>
  <c r="D306" i="11" s="1"/>
  <c r="D335" i="11" s="1"/>
  <c r="D17" i="11"/>
  <c r="D46" i="11" s="1"/>
  <c r="D75" i="11" s="1"/>
  <c r="D104" i="11" s="1"/>
  <c r="D133" i="11" s="1"/>
  <c r="D162" i="11" s="1"/>
  <c r="D191" i="11" s="1"/>
  <c r="D220" i="11" s="1"/>
  <c r="D249" i="11" s="1"/>
  <c r="D278" i="11" s="1"/>
  <c r="D307" i="11" s="1"/>
  <c r="D336" i="11" s="1"/>
  <c r="D18" i="11"/>
  <c r="D47" i="11" s="1"/>
  <c r="D76" i="11" s="1"/>
  <c r="D105" i="11" s="1"/>
  <c r="D134" i="11" s="1"/>
  <c r="D163" i="11" s="1"/>
  <c r="D192" i="11" s="1"/>
  <c r="D221" i="11" s="1"/>
  <c r="D250" i="11" s="1"/>
  <c r="D279" i="11" s="1"/>
  <c r="D308" i="11" s="1"/>
  <c r="D337" i="11" s="1"/>
  <c r="D19" i="11"/>
  <c r="D48" i="11" s="1"/>
  <c r="D77" i="11" s="1"/>
  <c r="D106" i="11" s="1"/>
  <c r="D135" i="11" s="1"/>
  <c r="D164" i="11" s="1"/>
  <c r="D193" i="11" s="1"/>
  <c r="D222" i="11" s="1"/>
  <c r="D251" i="11" s="1"/>
  <c r="D280" i="11" s="1"/>
  <c r="D309" i="11" s="1"/>
  <c r="D338" i="11" s="1"/>
  <c r="D20" i="11"/>
  <c r="D49" i="11" s="1"/>
  <c r="D78" i="11" s="1"/>
  <c r="D107" i="11" s="1"/>
  <c r="D136" i="11" s="1"/>
  <c r="D165" i="11" s="1"/>
  <c r="D194" i="11" s="1"/>
  <c r="D223" i="11" s="1"/>
  <c r="D252" i="11" s="1"/>
  <c r="D281" i="11" s="1"/>
  <c r="D310" i="11" s="1"/>
  <c r="D339" i="11" s="1"/>
  <c r="D21" i="11"/>
  <c r="D50" i="11" s="1"/>
  <c r="D79" i="11" s="1"/>
  <c r="D108" i="11" s="1"/>
  <c r="D137" i="11" s="1"/>
  <c r="D166" i="11" s="1"/>
  <c r="D195" i="11" s="1"/>
  <c r="D224" i="11" s="1"/>
  <c r="D253" i="11" s="1"/>
  <c r="D282" i="11" s="1"/>
  <c r="D311" i="11" s="1"/>
  <c r="D340" i="11" s="1"/>
  <c r="D22" i="11"/>
  <c r="D51" i="11" s="1"/>
  <c r="D80" i="11" s="1"/>
  <c r="D109" i="11" s="1"/>
  <c r="D138" i="11" s="1"/>
  <c r="D167" i="11" s="1"/>
  <c r="D196" i="11" s="1"/>
  <c r="D225" i="11" s="1"/>
  <c r="D254" i="11" s="1"/>
  <c r="D283" i="11" s="1"/>
  <c r="D312" i="11" s="1"/>
  <c r="D341" i="11" s="1"/>
  <c r="D23" i="11"/>
  <c r="D52" i="11" s="1"/>
  <c r="D81" i="11" s="1"/>
  <c r="D110" i="11" s="1"/>
  <c r="D139" i="11" s="1"/>
  <c r="D168" i="11" s="1"/>
  <c r="D197" i="11" s="1"/>
  <c r="D226" i="11" s="1"/>
  <c r="D255" i="11" s="1"/>
  <c r="D284" i="11" s="1"/>
  <c r="D313" i="11" s="1"/>
  <c r="D342" i="11" s="1"/>
  <c r="D24" i="11"/>
  <c r="D53" i="11" s="1"/>
  <c r="D82" i="11" s="1"/>
  <c r="D111" i="11" s="1"/>
  <c r="D140" i="11" s="1"/>
  <c r="D169" i="11" s="1"/>
  <c r="D198" i="11" s="1"/>
  <c r="D227" i="11" s="1"/>
  <c r="D256" i="11" s="1"/>
  <c r="D285" i="11" s="1"/>
  <c r="D314" i="11" s="1"/>
  <c r="D343" i="11" s="1"/>
  <c r="D25" i="11"/>
  <c r="D54" i="11" s="1"/>
  <c r="D83" i="11" s="1"/>
  <c r="D112" i="11" s="1"/>
  <c r="D141" i="11" s="1"/>
  <c r="D170" i="11" s="1"/>
  <c r="D199" i="11" s="1"/>
  <c r="D228" i="11" s="1"/>
  <c r="D257" i="11" s="1"/>
  <c r="D286" i="11" s="1"/>
  <c r="D315" i="11" s="1"/>
  <c r="D344" i="11" s="1"/>
  <c r="D26" i="11"/>
  <c r="D55" i="11" s="1"/>
  <c r="D84" i="11" s="1"/>
  <c r="D113" i="11" s="1"/>
  <c r="D142" i="11" s="1"/>
  <c r="D171" i="11" s="1"/>
  <c r="D200" i="11" s="1"/>
  <c r="D229" i="11" s="1"/>
  <c r="D258" i="11" s="1"/>
  <c r="D287" i="11" s="1"/>
  <c r="D316" i="11" s="1"/>
  <c r="D345" i="11" s="1"/>
  <c r="D27" i="11"/>
  <c r="D56" i="11" s="1"/>
  <c r="D85" i="11" s="1"/>
  <c r="D114" i="11" s="1"/>
  <c r="D143" i="11" s="1"/>
  <c r="D172" i="11" s="1"/>
  <c r="D201" i="11" s="1"/>
  <c r="D230" i="11" s="1"/>
  <c r="D259" i="11" s="1"/>
  <c r="D288" i="11" s="1"/>
  <c r="D317" i="11" s="1"/>
  <c r="D346" i="11" s="1"/>
  <c r="D5" i="11"/>
  <c r="D34" i="11" s="1"/>
  <c r="D63" i="11" s="1"/>
  <c r="D92" i="11" s="1"/>
  <c r="D121" i="11" s="1"/>
  <c r="D150" i="11" s="1"/>
  <c r="D179" i="11" s="1"/>
  <c r="D208" i="11" s="1"/>
  <c r="D237" i="11" s="1"/>
  <c r="D266" i="11" s="1"/>
  <c r="D295" i="11" s="1"/>
  <c r="D324" i="11" s="1"/>
  <c r="AE6" i="1"/>
  <c r="AE35" i="1" s="1"/>
  <c r="AE7" i="1"/>
  <c r="AE36" i="1" s="1"/>
  <c r="AE65" i="1" s="1"/>
  <c r="AE94" i="1" s="1"/>
  <c r="AE123" i="1" s="1"/>
  <c r="AE152" i="1" s="1"/>
  <c r="AE181" i="1" s="1"/>
  <c r="AE210" i="1" s="1"/>
  <c r="AE239" i="1" s="1"/>
  <c r="AE268" i="1" s="1"/>
  <c r="AE297" i="1" s="1"/>
  <c r="AE326" i="1" s="1"/>
  <c r="AE8" i="1"/>
  <c r="AE37" i="1" s="1"/>
  <c r="AE66" i="1" s="1"/>
  <c r="AE95" i="1" s="1"/>
  <c r="AE124" i="1" s="1"/>
  <c r="AE153" i="1" s="1"/>
  <c r="AE182" i="1" s="1"/>
  <c r="AE211" i="1" s="1"/>
  <c r="AE240" i="1" s="1"/>
  <c r="AE269" i="1" s="1"/>
  <c r="AE298" i="1" s="1"/>
  <c r="AE327" i="1" s="1"/>
  <c r="AE9" i="1"/>
  <c r="AE38" i="1" s="1"/>
  <c r="AE67" i="1" s="1"/>
  <c r="AE10" i="1"/>
  <c r="AE39" i="1" s="1"/>
  <c r="AE11" i="1"/>
  <c r="AE40" i="1" s="1"/>
  <c r="AE69" i="1" s="1"/>
  <c r="AE98" i="1" s="1"/>
  <c r="AE127" i="1" s="1"/>
  <c r="AE156" i="1" s="1"/>
  <c r="AE185" i="1" s="1"/>
  <c r="AE214" i="1" s="1"/>
  <c r="AE243" i="1" s="1"/>
  <c r="AE272" i="1" s="1"/>
  <c r="AE301" i="1" s="1"/>
  <c r="AE330" i="1" s="1"/>
  <c r="AE12" i="1"/>
  <c r="AE41" i="1" s="1"/>
  <c r="AE70" i="1" s="1"/>
  <c r="AE13" i="1"/>
  <c r="AE42" i="1" s="1"/>
  <c r="AE71" i="1" s="1"/>
  <c r="AE100" i="1" s="1"/>
  <c r="AH100" i="1" s="1"/>
  <c r="AE14" i="1"/>
  <c r="AE43" i="1" s="1"/>
  <c r="AE15" i="1"/>
  <c r="AE44" i="1" s="1"/>
  <c r="AE16" i="1"/>
  <c r="AE45" i="1" s="1"/>
  <c r="AE17" i="1"/>
  <c r="AE46" i="1" s="1"/>
  <c r="AE75" i="1" s="1"/>
  <c r="AE104" i="1" s="1"/>
  <c r="AE133" i="1" s="1"/>
  <c r="AE162" i="1" s="1"/>
  <c r="AE191" i="1" s="1"/>
  <c r="AE220" i="1" s="1"/>
  <c r="AE249" i="1" s="1"/>
  <c r="AE278" i="1" s="1"/>
  <c r="AE307" i="1" s="1"/>
  <c r="AE336" i="1" s="1"/>
  <c r="AE18" i="1"/>
  <c r="AE47" i="1" s="1"/>
  <c r="AE19" i="1"/>
  <c r="AE48" i="1" s="1"/>
  <c r="AE77" i="1" s="1"/>
  <c r="AE20" i="1"/>
  <c r="AE49" i="1" s="1"/>
  <c r="AE78" i="1" s="1"/>
  <c r="AE107" i="1" s="1"/>
  <c r="AE136" i="1" s="1"/>
  <c r="AE165" i="1" s="1"/>
  <c r="AE194" i="1" s="1"/>
  <c r="AE223" i="1" s="1"/>
  <c r="AE252" i="1" s="1"/>
  <c r="AE281" i="1" s="1"/>
  <c r="AE310" i="1" s="1"/>
  <c r="AE339" i="1" s="1"/>
  <c r="AE21" i="1"/>
  <c r="AE50" i="1" s="1"/>
  <c r="AE79" i="1" s="1"/>
  <c r="AE108" i="1" s="1"/>
  <c r="AH108" i="1" s="1"/>
  <c r="AE22" i="1"/>
  <c r="AE51" i="1" s="1"/>
  <c r="AE23" i="1"/>
  <c r="AE52" i="1" s="1"/>
  <c r="AE81" i="1" s="1"/>
  <c r="AE110" i="1" s="1"/>
  <c r="AE139" i="1" s="1"/>
  <c r="AE168" i="1" s="1"/>
  <c r="AE197" i="1" s="1"/>
  <c r="AE226" i="1" s="1"/>
  <c r="AE255" i="1" s="1"/>
  <c r="AE284" i="1" s="1"/>
  <c r="AE313" i="1" s="1"/>
  <c r="AE342" i="1" s="1"/>
  <c r="AE24" i="1"/>
  <c r="AE53" i="1" s="1"/>
  <c r="AE82" i="1" s="1"/>
  <c r="AE111" i="1" s="1"/>
  <c r="AE140" i="1" s="1"/>
  <c r="AE169" i="1" s="1"/>
  <c r="AE25" i="1"/>
  <c r="AE54" i="1" s="1"/>
  <c r="AE83" i="1" s="1"/>
  <c r="AE112" i="1" s="1"/>
  <c r="AE141" i="1" s="1"/>
  <c r="AE170" i="1" s="1"/>
  <c r="AH170" i="1" s="1"/>
  <c r="AE26" i="1"/>
  <c r="AE55" i="1" s="1"/>
  <c r="AE27" i="1"/>
  <c r="AE56" i="1" s="1"/>
  <c r="AE85" i="1" s="1"/>
  <c r="AE114" i="1" s="1"/>
  <c r="AH114" i="1" s="1"/>
  <c r="AE5" i="1"/>
  <c r="AE34" i="1" s="1"/>
  <c r="AE63" i="1" s="1"/>
  <c r="AE92" i="1" s="1"/>
  <c r="AE121" i="1" s="1"/>
  <c r="AE150" i="1" s="1"/>
  <c r="AE179" i="1" s="1"/>
  <c r="AE208" i="1" s="1"/>
  <c r="AH208" i="1" s="1"/>
  <c r="B22" i="9"/>
  <c r="B23" i="9"/>
  <c r="B24" i="9"/>
  <c r="B25" i="9"/>
  <c r="B26" i="9"/>
  <c r="B27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5" i="9"/>
  <c r="T24" i="11" l="1"/>
  <c r="H53" i="11"/>
  <c r="T8" i="11"/>
  <c r="H37" i="11"/>
  <c r="T23" i="11"/>
  <c r="H52" i="11"/>
  <c r="T7" i="11"/>
  <c r="H36" i="11"/>
  <c r="T21" i="11"/>
  <c r="H50" i="11"/>
  <c r="T20" i="11"/>
  <c r="H49" i="11"/>
  <c r="T25" i="11"/>
  <c r="H54" i="11"/>
  <c r="T19" i="11"/>
  <c r="H48" i="11"/>
  <c r="T6" i="11"/>
  <c r="H35" i="11"/>
  <c r="T17" i="11"/>
  <c r="H46" i="11"/>
  <c r="T9" i="11"/>
  <c r="H38" i="11"/>
  <c r="T16" i="11"/>
  <c r="H45" i="11"/>
  <c r="AB32" i="1"/>
  <c r="T15" i="11"/>
  <c r="H44" i="11"/>
  <c r="T14" i="11"/>
  <c r="H43" i="11"/>
  <c r="T22" i="11"/>
  <c r="H51" i="11"/>
  <c r="T18" i="11"/>
  <c r="H47" i="11"/>
  <c r="T13" i="11"/>
  <c r="H42" i="11"/>
  <c r="T12" i="11"/>
  <c r="H41" i="11"/>
  <c r="T27" i="11"/>
  <c r="H56" i="11"/>
  <c r="T11" i="11"/>
  <c r="H40" i="11"/>
  <c r="T26" i="11"/>
  <c r="H55" i="11"/>
  <c r="T10" i="11"/>
  <c r="H39" i="11"/>
  <c r="AE143" i="1"/>
  <c r="AE172" i="1" s="1"/>
  <c r="AE201" i="1" s="1"/>
  <c r="AE230" i="1" s="1"/>
  <c r="AH230" i="1" s="1"/>
  <c r="AH111" i="1"/>
  <c r="AH191" i="1"/>
  <c r="AH214" i="1"/>
  <c r="AH54" i="1"/>
  <c r="AE137" i="1"/>
  <c r="AE166" i="1" s="1"/>
  <c r="AE195" i="1" s="1"/>
  <c r="AE224" i="1" s="1"/>
  <c r="AE253" i="1" s="1"/>
  <c r="AE282" i="1" s="1"/>
  <c r="AE311" i="1" s="1"/>
  <c r="AE340" i="1" s="1"/>
  <c r="AH268" i="1"/>
  <c r="AH38" i="1"/>
  <c r="AH301" i="1"/>
  <c r="AH36" i="1"/>
  <c r="AE129" i="1"/>
  <c r="AE158" i="1" s="1"/>
  <c r="AE187" i="1" s="1"/>
  <c r="AE216" i="1" s="1"/>
  <c r="AE245" i="1" s="1"/>
  <c r="AE274" i="1" s="1"/>
  <c r="AE303" i="1" s="1"/>
  <c r="AE332" i="1" s="1"/>
  <c r="AH71" i="1"/>
  <c r="AH124" i="1"/>
  <c r="AH322" i="11"/>
  <c r="N48" i="9" s="1"/>
  <c r="AA6" i="10" s="1"/>
  <c r="AH83" i="1"/>
  <c r="AH66" i="1"/>
  <c r="AH181" i="1"/>
  <c r="AE198" i="1"/>
  <c r="AE227" i="1" s="1"/>
  <c r="AE256" i="1" s="1"/>
  <c r="AE285" i="1" s="1"/>
  <c r="AE314" i="1" s="1"/>
  <c r="AE343" i="1" s="1"/>
  <c r="AH169" i="1"/>
  <c r="AE259" i="1"/>
  <c r="AE288" i="1" s="1"/>
  <c r="AH49" i="1"/>
  <c r="AE106" i="1"/>
  <c r="AE135" i="1" s="1"/>
  <c r="AE164" i="1" s="1"/>
  <c r="AE193" i="1" s="1"/>
  <c r="AE222" i="1" s="1"/>
  <c r="AE251" i="1" s="1"/>
  <c r="AE280" i="1" s="1"/>
  <c r="AE309" i="1" s="1"/>
  <c r="AE338" i="1" s="1"/>
  <c r="AH77" i="1"/>
  <c r="AH37" i="1"/>
  <c r="AH79" i="1"/>
  <c r="AH104" i="1"/>
  <c r="AH123" i="1"/>
  <c r="AH112" i="1"/>
  <c r="AH185" i="1"/>
  <c r="AE199" i="1"/>
  <c r="AE228" i="1" s="1"/>
  <c r="AH272" i="1"/>
  <c r="AH67" i="1"/>
  <c r="AE96" i="1"/>
  <c r="AH50" i="1"/>
  <c r="AH41" i="1"/>
  <c r="AH63" i="1"/>
  <c r="AH141" i="1"/>
  <c r="AH156" i="1"/>
  <c r="AH210" i="1"/>
  <c r="AH243" i="1"/>
  <c r="AE237" i="1"/>
  <c r="AE266" i="1" s="1"/>
  <c r="AH46" i="1"/>
  <c r="AH40" i="1"/>
  <c r="AH81" i="1"/>
  <c r="AH69" i="1"/>
  <c r="AH98" i="1"/>
  <c r="AH133" i="1"/>
  <c r="AH239" i="1"/>
  <c r="AH249" i="1"/>
  <c r="AH70" i="1"/>
  <c r="AE99" i="1"/>
  <c r="AE128" i="1" s="1"/>
  <c r="AE157" i="1" s="1"/>
  <c r="AE186" i="1" s="1"/>
  <c r="AE215" i="1" s="1"/>
  <c r="AE244" i="1" s="1"/>
  <c r="AE273" i="1" s="1"/>
  <c r="AE302" i="1" s="1"/>
  <c r="AE331" i="1" s="1"/>
  <c r="AE68" i="1"/>
  <c r="AH39" i="1"/>
  <c r="AE73" i="1"/>
  <c r="AH44" i="1"/>
  <c r="AH34" i="1"/>
  <c r="AH56" i="1"/>
  <c r="AH82" i="1"/>
  <c r="AH95" i="1"/>
  <c r="AH94" i="1"/>
  <c r="AH150" i="1"/>
  <c r="AH75" i="1"/>
  <c r="AH47" i="1"/>
  <c r="AE76" i="1"/>
  <c r="AE74" i="1"/>
  <c r="AH45" i="1"/>
  <c r="AE80" i="1"/>
  <c r="AH51" i="1"/>
  <c r="AE72" i="1"/>
  <c r="AH43" i="1"/>
  <c r="AE64" i="1"/>
  <c r="AH35" i="1"/>
  <c r="AH42" i="1"/>
  <c r="AH48" i="1"/>
  <c r="AH85" i="1"/>
  <c r="AH121" i="1"/>
  <c r="AH152" i="1"/>
  <c r="AH220" i="1"/>
  <c r="AE84" i="1"/>
  <c r="AH55" i="1"/>
  <c r="AH92" i="1"/>
  <c r="AH53" i="1"/>
  <c r="AH52" i="1"/>
  <c r="AH65" i="1"/>
  <c r="AH127" i="1"/>
  <c r="AH162" i="1"/>
  <c r="AB148" i="1"/>
  <c r="AB177" i="1"/>
  <c r="AH307" i="1"/>
  <c r="AH278" i="1"/>
  <c r="AH336" i="1"/>
  <c r="AH164" i="1"/>
  <c r="AH338" i="1"/>
  <c r="AH137" i="1"/>
  <c r="AH78" i="1"/>
  <c r="AH297" i="1"/>
  <c r="AH153" i="1"/>
  <c r="AH326" i="1"/>
  <c r="AH330" i="1"/>
  <c r="AH179" i="1"/>
  <c r="AH201" i="1"/>
  <c r="AH140" i="1"/>
  <c r="AH143" i="1"/>
  <c r="AH235" i="11"/>
  <c r="K48" i="9" s="1"/>
  <c r="U6" i="10" s="1"/>
  <c r="AH10" i="11"/>
  <c r="AH26" i="11"/>
  <c r="H77" i="11" l="1"/>
  <c r="T48" i="11"/>
  <c r="H80" i="11"/>
  <c r="T51" i="11"/>
  <c r="H83" i="11"/>
  <c r="T54" i="11"/>
  <c r="AH259" i="1"/>
  <c r="H68" i="11"/>
  <c r="T39" i="11"/>
  <c r="H72" i="11"/>
  <c r="T43" i="11"/>
  <c r="H78" i="11"/>
  <c r="T49" i="11"/>
  <c r="H84" i="11"/>
  <c r="T55" i="11"/>
  <c r="H73" i="11"/>
  <c r="T44" i="11"/>
  <c r="H79" i="11"/>
  <c r="T50" i="11"/>
  <c r="H69" i="11"/>
  <c r="T40" i="11"/>
  <c r="H74" i="11"/>
  <c r="T45" i="11"/>
  <c r="H65" i="11"/>
  <c r="T36" i="11"/>
  <c r="AH172" i="1"/>
  <c r="H85" i="11"/>
  <c r="T56" i="11"/>
  <c r="H67" i="11"/>
  <c r="T38" i="11"/>
  <c r="H81" i="11"/>
  <c r="T52" i="11"/>
  <c r="H70" i="11"/>
  <c r="T41" i="11"/>
  <c r="AH280" i="1"/>
  <c r="H75" i="11"/>
  <c r="T46" i="11"/>
  <c r="H66" i="11"/>
  <c r="T37" i="11"/>
  <c r="H71" i="11"/>
  <c r="T42" i="11"/>
  <c r="H64" i="11"/>
  <c r="T35" i="11"/>
  <c r="H82" i="11"/>
  <c r="T53" i="11"/>
  <c r="H76" i="11"/>
  <c r="T47" i="11"/>
  <c r="AH237" i="1"/>
  <c r="AH198" i="1"/>
  <c r="AH158" i="1"/>
  <c r="AH215" i="1"/>
  <c r="AH129" i="1"/>
  <c r="AH99" i="1"/>
  <c r="AH157" i="1"/>
  <c r="AH128" i="1"/>
  <c r="AH32" i="1"/>
  <c r="AH186" i="1"/>
  <c r="AE102" i="1"/>
  <c r="AH73" i="1"/>
  <c r="AH251" i="1"/>
  <c r="AE101" i="1"/>
  <c r="AH72" i="1"/>
  <c r="AH309" i="1"/>
  <c r="AE109" i="1"/>
  <c r="AH80" i="1"/>
  <c r="AE97" i="1"/>
  <c r="AH68" i="1"/>
  <c r="AE317" i="1"/>
  <c r="AH288" i="1"/>
  <c r="AH135" i="1"/>
  <c r="AH106" i="1"/>
  <c r="AE103" i="1"/>
  <c r="AH74" i="1"/>
  <c r="AE257" i="1"/>
  <c r="AH228" i="1"/>
  <c r="AH193" i="1"/>
  <c r="AH76" i="1"/>
  <c r="AE105" i="1"/>
  <c r="AH199" i="1"/>
  <c r="AH222" i="1"/>
  <c r="AE113" i="1"/>
  <c r="AH84" i="1"/>
  <c r="AE93" i="1"/>
  <c r="AH64" i="1"/>
  <c r="AE295" i="1"/>
  <c r="AH266" i="1"/>
  <c r="AH96" i="1"/>
  <c r="AE125" i="1"/>
  <c r="AB206" i="1"/>
  <c r="AH107" i="1"/>
  <c r="AH110" i="1"/>
  <c r="AH187" i="1"/>
  <c r="AH244" i="1"/>
  <c r="AH182" i="1"/>
  <c r="AH3" i="11"/>
  <c r="H102" i="11" l="1"/>
  <c r="T73" i="11"/>
  <c r="H110" i="11"/>
  <c r="T81" i="11"/>
  <c r="H105" i="11"/>
  <c r="T76" i="11"/>
  <c r="H113" i="11"/>
  <c r="T84" i="11"/>
  <c r="H96" i="11"/>
  <c r="T67" i="11"/>
  <c r="H107" i="11"/>
  <c r="T78" i="11"/>
  <c r="H111" i="11"/>
  <c r="T82" i="11"/>
  <c r="H114" i="11"/>
  <c r="T85" i="11"/>
  <c r="H93" i="11"/>
  <c r="T64" i="11"/>
  <c r="H101" i="11"/>
  <c r="T72" i="11"/>
  <c r="G5" i="10"/>
  <c r="G4" i="10" s="1"/>
  <c r="G25" i="10" s="1"/>
  <c r="D34" i="9"/>
  <c r="H100" i="11"/>
  <c r="T71" i="11"/>
  <c r="H94" i="11"/>
  <c r="T65" i="11"/>
  <c r="H97" i="11"/>
  <c r="T68" i="11"/>
  <c r="H95" i="11"/>
  <c r="T66" i="11"/>
  <c r="H103" i="11"/>
  <c r="T74" i="11"/>
  <c r="H112" i="11"/>
  <c r="T83" i="11"/>
  <c r="H104" i="11"/>
  <c r="T75" i="11"/>
  <c r="H98" i="11"/>
  <c r="T69" i="11"/>
  <c r="H109" i="11"/>
  <c r="T80" i="11"/>
  <c r="H108" i="11"/>
  <c r="T79" i="11"/>
  <c r="H99" i="11"/>
  <c r="T70" i="11"/>
  <c r="H106" i="11"/>
  <c r="T77" i="11"/>
  <c r="C48" i="9"/>
  <c r="AE142" i="1"/>
  <c r="AH113" i="1"/>
  <c r="AE154" i="1"/>
  <c r="AH125" i="1"/>
  <c r="AE132" i="1"/>
  <c r="AH103" i="1"/>
  <c r="AE138" i="1"/>
  <c r="AH109" i="1"/>
  <c r="AE134" i="1"/>
  <c r="AH105" i="1"/>
  <c r="AE324" i="1"/>
  <c r="AH324" i="1" s="1"/>
  <c r="AH295" i="1"/>
  <c r="AE130" i="1"/>
  <c r="AH101" i="1"/>
  <c r="AH61" i="1"/>
  <c r="AE346" i="1"/>
  <c r="AH346" i="1" s="1"/>
  <c r="AH317" i="1"/>
  <c r="AE122" i="1"/>
  <c r="AH93" i="1"/>
  <c r="AE286" i="1"/>
  <c r="AH257" i="1"/>
  <c r="AE126" i="1"/>
  <c r="AH97" i="1"/>
  <c r="AE131" i="1"/>
  <c r="AH102" i="1"/>
  <c r="AB235" i="1"/>
  <c r="AH227" i="1"/>
  <c r="AH166" i="1"/>
  <c r="AH139" i="1"/>
  <c r="AH136" i="1"/>
  <c r="AH273" i="1"/>
  <c r="AH211" i="1"/>
  <c r="AH216" i="1"/>
  <c r="H132" i="11" l="1"/>
  <c r="T103" i="11"/>
  <c r="H143" i="11"/>
  <c r="T114" i="11"/>
  <c r="H135" i="11"/>
  <c r="T106" i="11"/>
  <c r="H124" i="11"/>
  <c r="T95" i="11"/>
  <c r="H140" i="11"/>
  <c r="T111" i="11"/>
  <c r="H128" i="11"/>
  <c r="T99" i="11"/>
  <c r="H126" i="11"/>
  <c r="T97" i="11"/>
  <c r="H136" i="11"/>
  <c r="T107" i="11"/>
  <c r="H137" i="11"/>
  <c r="T108" i="11"/>
  <c r="H123" i="11"/>
  <c r="T94" i="11"/>
  <c r="H125" i="11"/>
  <c r="T96" i="11"/>
  <c r="H138" i="11"/>
  <c r="T109" i="11"/>
  <c r="H129" i="11"/>
  <c r="T100" i="11"/>
  <c r="H142" i="11"/>
  <c r="T113" i="11"/>
  <c r="H127" i="11"/>
  <c r="T98" i="11"/>
  <c r="H134" i="11"/>
  <c r="T105" i="11"/>
  <c r="I5" i="10"/>
  <c r="I4" i="10" s="1"/>
  <c r="I25" i="10" s="1"/>
  <c r="E35" i="9"/>
  <c r="H133" i="11"/>
  <c r="T104" i="11"/>
  <c r="H130" i="11"/>
  <c r="T101" i="11"/>
  <c r="H139" i="11"/>
  <c r="T110" i="11"/>
  <c r="D31" i="9"/>
  <c r="I3" i="9" s="1"/>
  <c r="O34" i="9"/>
  <c r="H141" i="11"/>
  <c r="T112" i="11"/>
  <c r="H122" i="11"/>
  <c r="T93" i="11"/>
  <c r="H131" i="11"/>
  <c r="T102" i="11"/>
  <c r="E6" i="10"/>
  <c r="AC6" i="10" s="1"/>
  <c r="O48" i="9"/>
  <c r="AH90" i="1"/>
  <c r="AE159" i="1"/>
  <c r="AH130" i="1"/>
  <c r="AE167" i="1"/>
  <c r="AH138" i="1"/>
  <c r="AE161" i="1"/>
  <c r="AH132" i="1"/>
  <c r="AE315" i="1"/>
  <c r="AH286" i="1"/>
  <c r="AE160" i="1"/>
  <c r="AH131" i="1"/>
  <c r="AE151" i="1"/>
  <c r="AH122" i="1"/>
  <c r="AE183" i="1"/>
  <c r="AH154" i="1"/>
  <c r="AE155" i="1"/>
  <c r="AH126" i="1"/>
  <c r="AE163" i="1"/>
  <c r="AH134" i="1"/>
  <c r="AE171" i="1"/>
  <c r="AH142" i="1"/>
  <c r="AB264" i="1"/>
  <c r="AH256" i="1"/>
  <c r="AH195" i="1"/>
  <c r="AH165" i="1"/>
  <c r="AH168" i="1"/>
  <c r="AH240" i="1"/>
  <c r="AH302" i="1"/>
  <c r="AH245" i="1"/>
  <c r="H165" i="11" l="1"/>
  <c r="T136" i="11"/>
  <c r="H151" i="11"/>
  <c r="T122" i="11"/>
  <c r="H156" i="11"/>
  <c r="T127" i="11"/>
  <c r="H155" i="11"/>
  <c r="T126" i="11"/>
  <c r="H163" i="11"/>
  <c r="T134" i="11"/>
  <c r="H157" i="11"/>
  <c r="T128" i="11"/>
  <c r="H158" i="11"/>
  <c r="T129" i="11"/>
  <c r="H169" i="11"/>
  <c r="T140" i="11"/>
  <c r="H160" i="11"/>
  <c r="T131" i="11"/>
  <c r="H170" i="11"/>
  <c r="T141" i="11"/>
  <c r="H168" i="11"/>
  <c r="T139" i="11"/>
  <c r="H167" i="11"/>
  <c r="T138" i="11"/>
  <c r="H153" i="11"/>
  <c r="T124" i="11"/>
  <c r="H159" i="11"/>
  <c r="T130" i="11"/>
  <c r="H154" i="11"/>
  <c r="T125" i="11"/>
  <c r="H164" i="11"/>
  <c r="T135" i="11"/>
  <c r="K5" i="10"/>
  <c r="K4" i="10" s="1"/>
  <c r="K25" i="10" s="1"/>
  <c r="F36" i="9"/>
  <c r="H162" i="11"/>
  <c r="T133" i="11"/>
  <c r="H152" i="11"/>
  <c r="T123" i="11"/>
  <c r="H172" i="11"/>
  <c r="T143" i="11"/>
  <c r="E31" i="9"/>
  <c r="O35" i="9"/>
  <c r="H171" i="11"/>
  <c r="T142" i="11"/>
  <c r="H166" i="11"/>
  <c r="T137" i="11"/>
  <c r="H161" i="11"/>
  <c r="T132" i="11"/>
  <c r="AH119" i="1"/>
  <c r="AE192" i="1"/>
  <c r="AH163" i="1"/>
  <c r="AE180" i="1"/>
  <c r="AH151" i="1"/>
  <c r="AE190" i="1"/>
  <c r="AH161" i="1"/>
  <c r="AH155" i="1"/>
  <c r="AE184" i="1"/>
  <c r="AE189" i="1"/>
  <c r="AH160" i="1"/>
  <c r="AH167" i="1"/>
  <c r="AE196" i="1"/>
  <c r="AE212" i="1"/>
  <c r="AH183" i="1"/>
  <c r="AE200" i="1"/>
  <c r="AH171" i="1"/>
  <c r="AE188" i="1"/>
  <c r="AH159" i="1"/>
  <c r="AE344" i="1"/>
  <c r="AH344" i="1" s="1"/>
  <c r="AH315" i="1"/>
  <c r="AB322" i="1"/>
  <c r="AB293" i="1"/>
  <c r="AH194" i="1"/>
  <c r="AH224" i="1"/>
  <c r="AH197" i="1"/>
  <c r="AH285" i="1"/>
  <c r="AH274" i="1"/>
  <c r="AH331" i="1"/>
  <c r="AH269" i="1"/>
  <c r="H200" i="11" l="1"/>
  <c r="T171" i="11"/>
  <c r="H195" i="11"/>
  <c r="T166" i="11"/>
  <c r="H187" i="11"/>
  <c r="T158" i="11"/>
  <c r="H182" i="11"/>
  <c r="T153" i="11"/>
  <c r="H192" i="11"/>
  <c r="T163" i="11"/>
  <c r="H193" i="11"/>
  <c r="T164" i="11"/>
  <c r="H201" i="11"/>
  <c r="T172" i="11"/>
  <c r="H196" i="11"/>
  <c r="T167" i="11"/>
  <c r="H184" i="11"/>
  <c r="T155" i="11"/>
  <c r="H190" i="11"/>
  <c r="T161" i="11"/>
  <c r="H198" i="11"/>
  <c r="T169" i="11"/>
  <c r="H186" i="11"/>
  <c r="T157" i="11"/>
  <c r="H181" i="11"/>
  <c r="T152" i="11"/>
  <c r="H197" i="11"/>
  <c r="T168" i="11"/>
  <c r="H185" i="11"/>
  <c r="T156" i="11"/>
  <c r="H188" i="11"/>
  <c r="T159" i="11"/>
  <c r="H183" i="11"/>
  <c r="T154" i="11"/>
  <c r="H191" i="11"/>
  <c r="T162" i="11"/>
  <c r="H199" i="11"/>
  <c r="T170" i="11"/>
  <c r="H180" i="11"/>
  <c r="T151" i="11"/>
  <c r="F31" i="9"/>
  <c r="O36" i="9"/>
  <c r="M5" i="10"/>
  <c r="M4" i="10" s="1"/>
  <c r="M25" i="10" s="1"/>
  <c r="G37" i="9"/>
  <c r="H189" i="11"/>
  <c r="T160" i="11"/>
  <c r="H194" i="11"/>
  <c r="T165" i="11"/>
  <c r="AH148" i="1"/>
  <c r="AE241" i="1"/>
  <c r="AH212" i="1"/>
  <c r="AE213" i="1"/>
  <c r="AH184" i="1"/>
  <c r="AE217" i="1"/>
  <c r="AH188" i="1"/>
  <c r="AE219" i="1"/>
  <c r="AH190" i="1"/>
  <c r="AE229" i="1"/>
  <c r="AH200" i="1"/>
  <c r="AE209" i="1"/>
  <c r="AH180" i="1"/>
  <c r="AE225" i="1"/>
  <c r="AH196" i="1"/>
  <c r="AE218" i="1"/>
  <c r="AH189" i="1"/>
  <c r="AE221" i="1"/>
  <c r="AH192" i="1"/>
  <c r="AH226" i="1"/>
  <c r="AH253" i="1"/>
  <c r="AH314" i="1"/>
  <c r="AH223" i="1"/>
  <c r="AH298" i="1"/>
  <c r="AH303" i="1"/>
  <c r="H218" i="11" l="1"/>
  <c r="T189" i="11"/>
  <c r="H214" i="11"/>
  <c r="T185" i="11"/>
  <c r="H230" i="11"/>
  <c r="T201" i="11"/>
  <c r="H222" i="11"/>
  <c r="T193" i="11"/>
  <c r="H221" i="11"/>
  <c r="T192" i="11"/>
  <c r="H223" i="11"/>
  <c r="T194" i="11"/>
  <c r="H209" i="11"/>
  <c r="T180" i="11"/>
  <c r="H215" i="11"/>
  <c r="T186" i="11"/>
  <c r="H211" i="11"/>
  <c r="T182" i="11"/>
  <c r="H226" i="11"/>
  <c r="T197" i="11"/>
  <c r="H225" i="11"/>
  <c r="T196" i="11"/>
  <c r="H216" i="11"/>
  <c r="T187" i="11"/>
  <c r="H217" i="11"/>
  <c r="T188" i="11"/>
  <c r="H228" i="11"/>
  <c r="T199" i="11"/>
  <c r="G31" i="9"/>
  <c r="O37" i="9"/>
  <c r="AH177" i="1"/>
  <c r="H220" i="11"/>
  <c r="T191" i="11"/>
  <c r="H219" i="11"/>
  <c r="T190" i="11"/>
  <c r="H224" i="11"/>
  <c r="T195" i="11"/>
  <c r="H227" i="11"/>
  <c r="T198" i="11"/>
  <c r="H210" i="11"/>
  <c r="T181" i="11"/>
  <c r="O5" i="10"/>
  <c r="O4" i="10" s="1"/>
  <c r="O25" i="10" s="1"/>
  <c r="H38" i="9"/>
  <c r="H212" i="11"/>
  <c r="T183" i="11"/>
  <c r="H213" i="11"/>
  <c r="T184" i="11"/>
  <c r="H229" i="11"/>
  <c r="T200" i="11"/>
  <c r="AE258" i="1"/>
  <c r="AH229" i="1"/>
  <c r="AE246" i="1"/>
  <c r="AH217" i="1"/>
  <c r="AE242" i="1"/>
  <c r="AH213" i="1"/>
  <c r="AH225" i="1"/>
  <c r="AE254" i="1"/>
  <c r="AH221" i="1"/>
  <c r="AE250" i="1"/>
  <c r="AE247" i="1"/>
  <c r="AH218" i="1"/>
  <c r="AE238" i="1"/>
  <c r="AH209" i="1"/>
  <c r="AE248" i="1"/>
  <c r="AH219" i="1"/>
  <c r="AE270" i="1"/>
  <c r="AH241" i="1"/>
  <c r="AH343" i="1"/>
  <c r="AH282" i="1"/>
  <c r="AH252" i="1"/>
  <c r="AH255" i="1"/>
  <c r="AH332" i="1"/>
  <c r="AH327" i="1"/>
  <c r="H258" i="11" l="1"/>
  <c r="T229" i="11"/>
  <c r="H238" i="11"/>
  <c r="T209" i="11"/>
  <c r="H249" i="11"/>
  <c r="T220" i="11"/>
  <c r="H244" i="11"/>
  <c r="T215" i="11"/>
  <c r="H241" i="11"/>
  <c r="T212" i="11"/>
  <c r="H246" i="11"/>
  <c r="T217" i="11"/>
  <c r="H250" i="11"/>
  <c r="T221" i="11"/>
  <c r="H31" i="9"/>
  <c r="O38" i="9"/>
  <c r="H252" i="11"/>
  <c r="T223" i="11"/>
  <c r="Q5" i="10"/>
  <c r="Q4" i="10" s="1"/>
  <c r="Q25" i="10" s="1"/>
  <c r="I39" i="9"/>
  <c r="H245" i="11"/>
  <c r="T216" i="11"/>
  <c r="H251" i="11"/>
  <c r="T222" i="11"/>
  <c r="H256" i="11"/>
  <c r="T227" i="11"/>
  <c r="H254" i="11"/>
  <c r="T225" i="11"/>
  <c r="H259" i="11"/>
  <c r="T230" i="11"/>
  <c r="H257" i="11"/>
  <c r="T228" i="11"/>
  <c r="H253" i="11"/>
  <c r="T224" i="11"/>
  <c r="H242" i="11"/>
  <c r="T213" i="11"/>
  <c r="H255" i="11"/>
  <c r="T226" i="11"/>
  <c r="H243" i="11"/>
  <c r="T214" i="11"/>
  <c r="H239" i="11"/>
  <c r="T210" i="11"/>
  <c r="H248" i="11"/>
  <c r="T219" i="11"/>
  <c r="H240" i="11"/>
  <c r="T211" i="11"/>
  <c r="H247" i="11"/>
  <c r="T218" i="11"/>
  <c r="AH206" i="1"/>
  <c r="AE276" i="1"/>
  <c r="AH247" i="1"/>
  <c r="AE275" i="1"/>
  <c r="AH246" i="1"/>
  <c r="AE299" i="1"/>
  <c r="AH270" i="1"/>
  <c r="AE277" i="1"/>
  <c r="AH248" i="1"/>
  <c r="AE279" i="1"/>
  <c r="AH250" i="1"/>
  <c r="AE271" i="1"/>
  <c r="AH242" i="1"/>
  <c r="AE287" i="1"/>
  <c r="AH258" i="1"/>
  <c r="AE283" i="1"/>
  <c r="AH254" i="1"/>
  <c r="AE267" i="1"/>
  <c r="AH238" i="1"/>
  <c r="AH281" i="1"/>
  <c r="AH311" i="1"/>
  <c r="AH284" i="1"/>
  <c r="H279" i="11" l="1"/>
  <c r="T250" i="11"/>
  <c r="H277" i="11"/>
  <c r="T248" i="11"/>
  <c r="H283" i="11"/>
  <c r="T254" i="11"/>
  <c r="H270" i="11"/>
  <c r="T241" i="11"/>
  <c r="H280" i="11"/>
  <c r="T251" i="11"/>
  <c r="H273" i="11"/>
  <c r="T244" i="11"/>
  <c r="H269" i="11"/>
  <c r="T240" i="11"/>
  <c r="H275" i="11"/>
  <c r="T246" i="11"/>
  <c r="H285" i="11"/>
  <c r="T256" i="11"/>
  <c r="H284" i="11"/>
  <c r="T255" i="11"/>
  <c r="H274" i="11"/>
  <c r="T245" i="11"/>
  <c r="H278" i="11"/>
  <c r="T249" i="11"/>
  <c r="H286" i="11"/>
  <c r="T257" i="11"/>
  <c r="H288" i="11"/>
  <c r="T259" i="11"/>
  <c r="I31" i="9"/>
  <c r="O39" i="9"/>
  <c r="H276" i="11"/>
  <c r="T247" i="11"/>
  <c r="H267" i="11"/>
  <c r="T238" i="11"/>
  <c r="H268" i="11"/>
  <c r="T239" i="11"/>
  <c r="H272" i="11"/>
  <c r="T243" i="11"/>
  <c r="H271" i="11"/>
  <c r="T242" i="11"/>
  <c r="S5" i="10"/>
  <c r="S4" i="10" s="1"/>
  <c r="S25" i="10" s="1"/>
  <c r="J40" i="9"/>
  <c r="H282" i="11"/>
  <c r="T253" i="11"/>
  <c r="H281" i="11"/>
  <c r="T252" i="11"/>
  <c r="H287" i="11"/>
  <c r="T258" i="11"/>
  <c r="AH235" i="1"/>
  <c r="AE306" i="1"/>
  <c r="AH277" i="1"/>
  <c r="AE304" i="1"/>
  <c r="AH275" i="1"/>
  <c r="AH279" i="1"/>
  <c r="AE308" i="1"/>
  <c r="AE296" i="1"/>
  <c r="AH267" i="1"/>
  <c r="AE328" i="1"/>
  <c r="AH328" i="1" s="1"/>
  <c r="AH299" i="1"/>
  <c r="AE316" i="1"/>
  <c r="AH287" i="1"/>
  <c r="AE312" i="1"/>
  <c r="AH283" i="1"/>
  <c r="AE300" i="1"/>
  <c r="AH271" i="1"/>
  <c r="AE305" i="1"/>
  <c r="AH276" i="1"/>
  <c r="AH313" i="1"/>
  <c r="AH340" i="1"/>
  <c r="AH310" i="1"/>
  <c r="B32" i="6"/>
  <c r="D13" i="6" s="1"/>
  <c r="M3" i="3" s="1"/>
  <c r="AB6" i="1"/>
  <c r="AB7" i="1"/>
  <c r="AB8" i="1"/>
  <c r="AB9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D17" i="6"/>
  <c r="O3" i="3" s="1"/>
  <c r="AB3" i="5"/>
  <c r="AB3" i="4"/>
  <c r="P11" i="3"/>
  <c r="P10" i="3"/>
  <c r="P5" i="3"/>
  <c r="AJ2" i="7"/>
  <c r="AI2" i="7"/>
  <c r="AH2" i="7"/>
  <c r="AG2" i="7"/>
  <c r="AF2" i="7"/>
  <c r="AC2" i="7"/>
  <c r="Q3" i="3"/>
  <c r="W4" i="4"/>
  <c r="X4" i="4"/>
  <c r="Y4" i="4"/>
  <c r="Z4" i="4"/>
  <c r="W4" i="5"/>
  <c r="X4" i="5"/>
  <c r="Y4" i="5"/>
  <c r="Z4" i="5"/>
  <c r="W4" i="2"/>
  <c r="W4" i="11" s="1"/>
  <c r="X4" i="2"/>
  <c r="Y4" i="2"/>
  <c r="Z4" i="2"/>
  <c r="V4" i="4"/>
  <c r="V4" i="5"/>
  <c r="V4" i="2"/>
  <c r="V4" i="11" s="1"/>
  <c r="D9" i="6"/>
  <c r="C27" i="6"/>
  <c r="D27" i="6" s="1"/>
  <c r="T5" i="3"/>
  <c r="V5" i="3" s="1"/>
  <c r="E5" i="3" s="1"/>
  <c r="G5" i="11" s="1"/>
  <c r="G6" i="7"/>
  <c r="K6" i="7" s="1"/>
  <c r="G5" i="7"/>
  <c r="T5" i="7" s="1"/>
  <c r="H316" i="11" l="1"/>
  <c r="T287" i="11"/>
  <c r="H298" i="11"/>
  <c r="T269" i="11"/>
  <c r="H310" i="11"/>
  <c r="T281" i="11"/>
  <c r="H302" i="11"/>
  <c r="T273" i="11"/>
  <c r="J31" i="9"/>
  <c r="O40" i="9"/>
  <c r="H315" i="11"/>
  <c r="T286" i="11"/>
  <c r="H309" i="11"/>
  <c r="T280" i="11"/>
  <c r="H311" i="11"/>
  <c r="T282" i="11"/>
  <c r="AA282" i="11" s="1"/>
  <c r="H300" i="11"/>
  <c r="T271" i="11"/>
  <c r="H307" i="11"/>
  <c r="T278" i="11"/>
  <c r="H299" i="11"/>
  <c r="T270" i="11"/>
  <c r="H301" i="11"/>
  <c r="T272" i="11"/>
  <c r="H303" i="11"/>
  <c r="T274" i="11"/>
  <c r="H312" i="11"/>
  <c r="T283" i="11"/>
  <c r="H304" i="11"/>
  <c r="T275" i="11"/>
  <c r="H317" i="11"/>
  <c r="T288" i="11"/>
  <c r="AA288" i="11" s="1"/>
  <c r="H305" i="11"/>
  <c r="T276" i="11"/>
  <c r="S5" i="11"/>
  <c r="G34" i="11"/>
  <c r="H297" i="11"/>
  <c r="T268" i="11"/>
  <c r="H313" i="11"/>
  <c r="T284" i="11"/>
  <c r="H306" i="11"/>
  <c r="T277" i="11"/>
  <c r="AA277" i="11" s="1"/>
  <c r="V236" i="11"/>
  <c r="V323" i="11"/>
  <c r="V33" i="11"/>
  <c r="V120" i="11"/>
  <c r="V207" i="11"/>
  <c r="V294" i="11"/>
  <c r="V91" i="11"/>
  <c r="V178" i="11"/>
  <c r="V265" i="11"/>
  <c r="V62" i="11"/>
  <c r="V149" i="11"/>
  <c r="W120" i="11"/>
  <c r="W207" i="11"/>
  <c r="W294" i="11"/>
  <c r="W91" i="11"/>
  <c r="W178" i="11"/>
  <c r="W265" i="11"/>
  <c r="W62" i="11"/>
  <c r="W149" i="11"/>
  <c r="W236" i="11"/>
  <c r="W323" i="11"/>
  <c r="W33" i="11"/>
  <c r="U5" i="10"/>
  <c r="U4" i="10" s="1"/>
  <c r="U25" i="10" s="1"/>
  <c r="K41" i="9"/>
  <c r="H296" i="11"/>
  <c r="T267" i="11"/>
  <c r="H314" i="11"/>
  <c r="T285" i="11"/>
  <c r="H308" i="11"/>
  <c r="T279" i="11"/>
  <c r="B4" i="12"/>
  <c r="AB11" i="2"/>
  <c r="AB185" i="11"/>
  <c r="AB214" i="11"/>
  <c r="AB243" i="11"/>
  <c r="AB11" i="11"/>
  <c r="AB272" i="11"/>
  <c r="AB330" i="11"/>
  <c r="AB98" i="11"/>
  <c r="AB127" i="11"/>
  <c r="AB156" i="11"/>
  <c r="AB40" i="11"/>
  <c r="AB301" i="11"/>
  <c r="AB69" i="11"/>
  <c r="AB5" i="2"/>
  <c r="AB5" i="1" s="1"/>
  <c r="AB237" i="11"/>
  <c r="AB266" i="11"/>
  <c r="AB295" i="11"/>
  <c r="AB63" i="11"/>
  <c r="AB324" i="11"/>
  <c r="AB92" i="11"/>
  <c r="AB150" i="11"/>
  <c r="AB34" i="11"/>
  <c r="AB179" i="11"/>
  <c r="AB208" i="11"/>
  <c r="AB5" i="11"/>
  <c r="AB121" i="11"/>
  <c r="AB10" i="2"/>
  <c r="AB10" i="1" s="1"/>
  <c r="AB155" i="11"/>
  <c r="AB39" i="11"/>
  <c r="AB184" i="11"/>
  <c r="AB213" i="11"/>
  <c r="AB242" i="11"/>
  <c r="AB10" i="11"/>
  <c r="AB300" i="11"/>
  <c r="AB68" i="11"/>
  <c r="AB329" i="11"/>
  <c r="AB97" i="11"/>
  <c r="AB126" i="11"/>
  <c r="AB271" i="11"/>
  <c r="AH264" i="1"/>
  <c r="AA182" i="11"/>
  <c r="AA95" i="11"/>
  <c r="AA52" i="11"/>
  <c r="AA143" i="11"/>
  <c r="AA140" i="11"/>
  <c r="AA136" i="11"/>
  <c r="AA132" i="11"/>
  <c r="AA128" i="11"/>
  <c r="AA194" i="11"/>
  <c r="AA186" i="11"/>
  <c r="AA163" i="11"/>
  <c r="AA166" i="11"/>
  <c r="AA199" i="11"/>
  <c r="AA190" i="11"/>
  <c r="AA171" i="11"/>
  <c r="AA158" i="11"/>
  <c r="AA108" i="11"/>
  <c r="AA201" i="11"/>
  <c r="AA85" i="11"/>
  <c r="AA165" i="11"/>
  <c r="AA215" i="11"/>
  <c r="AA278" i="11"/>
  <c r="AA54" i="11"/>
  <c r="AA114" i="11"/>
  <c r="AA211" i="11"/>
  <c r="AA259" i="11"/>
  <c r="AA38" i="11"/>
  <c r="AA83" i="11"/>
  <c r="AA164" i="11"/>
  <c r="AA271" i="11"/>
  <c r="AA133" i="11"/>
  <c r="AA242" i="11"/>
  <c r="AA69" i="11"/>
  <c r="AA138" i="11"/>
  <c r="AA70" i="11"/>
  <c r="AA169" i="11"/>
  <c r="AA243" i="11"/>
  <c r="AA37" i="11"/>
  <c r="AA112" i="11"/>
  <c r="AA209" i="11"/>
  <c r="AA98" i="11"/>
  <c r="AA170" i="11"/>
  <c r="AA219" i="11"/>
  <c r="AA75" i="11"/>
  <c r="AA245" i="11"/>
  <c r="AA124" i="11"/>
  <c r="AA216" i="11"/>
  <c r="AA274" i="11"/>
  <c r="AA99" i="11"/>
  <c r="AA187" i="11"/>
  <c r="AA273" i="11"/>
  <c r="AA64" i="11"/>
  <c r="AA137" i="11"/>
  <c r="AA252" i="11"/>
  <c r="AA73" i="11"/>
  <c r="AA142" i="11"/>
  <c r="AA77" i="11"/>
  <c r="AA183" i="11"/>
  <c r="AA257" i="11"/>
  <c r="AA42" i="11"/>
  <c r="AA123" i="11"/>
  <c r="AA214" i="11"/>
  <c r="AA55" i="11"/>
  <c r="AA101" i="11"/>
  <c r="AA181" i="11"/>
  <c r="AA223" i="11"/>
  <c r="AA102" i="11"/>
  <c r="AA253" i="11"/>
  <c r="AA39" i="11"/>
  <c r="AA154" i="11"/>
  <c r="AA220" i="11"/>
  <c r="AA45" i="11"/>
  <c r="AA103" i="11"/>
  <c r="AA189" i="11"/>
  <c r="AA275" i="11"/>
  <c r="AA76" i="11"/>
  <c r="AA141" i="11"/>
  <c r="AA255" i="11"/>
  <c r="AA36" i="11"/>
  <c r="AA80" i="11"/>
  <c r="AA152" i="11"/>
  <c r="AA185" i="11"/>
  <c r="AA272" i="11"/>
  <c r="AA267" i="11"/>
  <c r="AA47" i="11"/>
  <c r="AA127" i="11"/>
  <c r="AA249" i="11"/>
  <c r="AA67" i="11"/>
  <c r="AA105" i="11"/>
  <c r="AA184" i="11"/>
  <c r="AA227" i="11"/>
  <c r="AA106" i="11"/>
  <c r="AA270" i="11"/>
  <c r="AA44" i="11"/>
  <c r="AA157" i="11"/>
  <c r="AA224" i="11"/>
  <c r="AA283" i="11"/>
  <c r="AA195" i="11"/>
  <c r="AA287" i="11"/>
  <c r="AA82" i="11"/>
  <c r="AA212" i="11"/>
  <c r="AA279" i="11"/>
  <c r="AA41" i="11"/>
  <c r="AA96" i="11"/>
  <c r="AA162" i="11"/>
  <c r="AA84" i="11"/>
  <c r="AA218" i="11"/>
  <c r="AA281" i="11"/>
  <c r="AA81" i="11"/>
  <c r="AA131" i="11"/>
  <c r="AA256" i="11"/>
  <c r="AA135" i="11"/>
  <c r="AA191" i="11"/>
  <c r="AA239" i="11"/>
  <c r="AA109" i="11"/>
  <c r="AA74" i="11"/>
  <c r="AA167" i="11"/>
  <c r="AA228" i="11"/>
  <c r="AA285" i="11"/>
  <c r="AA49" i="11"/>
  <c r="AA241" i="11"/>
  <c r="AA107" i="11"/>
  <c r="AA217" i="11"/>
  <c r="AA280" i="11"/>
  <c r="AA50" i="11"/>
  <c r="AA122" i="11"/>
  <c r="AA188" i="11"/>
  <c r="AA222" i="11"/>
  <c r="AA93" i="11"/>
  <c r="AA153" i="11"/>
  <c r="AA268" i="11"/>
  <c r="AA71" i="11"/>
  <c r="AA139" i="11"/>
  <c r="AA193" i="11"/>
  <c r="AA244" i="11"/>
  <c r="AA113" i="11"/>
  <c r="AA79" i="11"/>
  <c r="AA180" i="11"/>
  <c r="AA240" i="11"/>
  <c r="AA286" i="11"/>
  <c r="AA68" i="11"/>
  <c r="AA151" i="11"/>
  <c r="AA247" i="11"/>
  <c r="AA111" i="11"/>
  <c r="AA221" i="11"/>
  <c r="AA284" i="11"/>
  <c r="AA53" i="11"/>
  <c r="AA126" i="11"/>
  <c r="AA213" i="11"/>
  <c r="AA40" i="11"/>
  <c r="AA100" i="11"/>
  <c r="AA226" i="11"/>
  <c r="AA94" i="11"/>
  <c r="AA159" i="11"/>
  <c r="AA269" i="11"/>
  <c r="AA155" i="11"/>
  <c r="AA196" i="11"/>
  <c r="AA248" i="11"/>
  <c r="AA200" i="11"/>
  <c r="AA192" i="11"/>
  <c r="AA246" i="11"/>
  <c r="AA72" i="11"/>
  <c r="AA160" i="11"/>
  <c r="AA250" i="11"/>
  <c r="AA46" i="11"/>
  <c r="AA125" i="11"/>
  <c r="AA225" i="11"/>
  <c r="AA56" i="11"/>
  <c r="AA130" i="11"/>
  <c r="AA51" i="11"/>
  <c r="AA104" i="11"/>
  <c r="AA230" i="11"/>
  <c r="AA43" i="11"/>
  <c r="AA110" i="11"/>
  <c r="AA48" i="11"/>
  <c r="AA198" i="11"/>
  <c r="AA129" i="11"/>
  <c r="AA66" i="11"/>
  <c r="AA156" i="11"/>
  <c r="AA258" i="11"/>
  <c r="AA229" i="11"/>
  <c r="AA168" i="11"/>
  <c r="AA197" i="11"/>
  <c r="AA35" i="11"/>
  <c r="AA238" i="11"/>
  <c r="AA254" i="11"/>
  <c r="AA78" i="11"/>
  <c r="AA97" i="11"/>
  <c r="AA161" i="11"/>
  <c r="AA172" i="11"/>
  <c r="AA210" i="11"/>
  <c r="AA251" i="11"/>
  <c r="AA65" i="11"/>
  <c r="AA276" i="11"/>
  <c r="AA134" i="11"/>
  <c r="O293" i="1"/>
  <c r="O148" i="1"/>
  <c r="O235" i="1"/>
  <c r="O322" i="1"/>
  <c r="O90" i="1"/>
  <c r="O177" i="1"/>
  <c r="O119" i="1"/>
  <c r="O206" i="1"/>
  <c r="O322" i="11"/>
  <c r="O119" i="11"/>
  <c r="O43" i="5"/>
  <c r="O27" i="5"/>
  <c r="O3" i="1"/>
  <c r="O71" i="4"/>
  <c r="O163" i="2"/>
  <c r="O35" i="2"/>
  <c r="O61" i="11"/>
  <c r="O75" i="5"/>
  <c r="O122" i="4"/>
  <c r="O3" i="5"/>
  <c r="O83" i="2"/>
  <c r="O32" i="1"/>
  <c r="O148" i="11"/>
  <c r="O59" i="5"/>
  <c r="O173" i="4"/>
  <c r="O37" i="4"/>
  <c r="O131" i="2"/>
  <c r="O3" i="2"/>
  <c r="O264" i="11"/>
  <c r="O90" i="11"/>
  <c r="O91" i="5"/>
  <c r="O32" i="11"/>
  <c r="O139" i="4"/>
  <c r="O11" i="5"/>
  <c r="O99" i="2"/>
  <c r="O61" i="1"/>
  <c r="O177" i="11"/>
  <c r="O51" i="5"/>
  <c r="O190" i="4"/>
  <c r="O54" i="4"/>
  <c r="O147" i="2"/>
  <c r="O19" i="2"/>
  <c r="O264" i="1"/>
  <c r="O293" i="11"/>
  <c r="O235" i="11"/>
  <c r="O206" i="11"/>
  <c r="O83" i="5"/>
  <c r="O67" i="5"/>
  <c r="O156" i="4"/>
  <c r="O20" i="4"/>
  <c r="O115" i="2"/>
  <c r="O105" i="4"/>
  <c r="O88" i="4"/>
  <c r="O51" i="2"/>
  <c r="O3" i="4"/>
  <c r="O35" i="5"/>
  <c r="O179" i="2"/>
  <c r="O67" i="2"/>
  <c r="O19" i="5"/>
  <c r="O3" i="11"/>
  <c r="AE334" i="1"/>
  <c r="AH334" i="1" s="1"/>
  <c r="AH305" i="1"/>
  <c r="AE325" i="1"/>
  <c r="AH325" i="1" s="1"/>
  <c r="AH296" i="1"/>
  <c r="AE341" i="1"/>
  <c r="AH341" i="1" s="1"/>
  <c r="AH312" i="1"/>
  <c r="AE333" i="1"/>
  <c r="AH333" i="1" s="1"/>
  <c r="AH304" i="1"/>
  <c r="AE337" i="1"/>
  <c r="AH337" i="1" s="1"/>
  <c r="AH308" i="1"/>
  <c r="AE345" i="1"/>
  <c r="AH345" i="1" s="1"/>
  <c r="AH316" i="1"/>
  <c r="AE335" i="1"/>
  <c r="AH335" i="1" s="1"/>
  <c r="AH306" i="1"/>
  <c r="AE329" i="1"/>
  <c r="AH329" i="1" s="1"/>
  <c r="AH300" i="1"/>
  <c r="T6" i="7"/>
  <c r="T2" i="7" s="1"/>
  <c r="G2" i="7"/>
  <c r="W5" i="7"/>
  <c r="Z5" i="7"/>
  <c r="N6" i="7"/>
  <c r="W6" i="7"/>
  <c r="N5" i="7"/>
  <c r="Z6" i="7"/>
  <c r="Q5" i="7"/>
  <c r="Q6" i="7"/>
  <c r="AH339" i="1"/>
  <c r="AH342" i="1"/>
  <c r="Z4" i="1"/>
  <c r="Z4" i="11"/>
  <c r="Y4" i="1"/>
  <c r="Y4" i="11"/>
  <c r="X4" i="1"/>
  <c r="X4" i="11"/>
  <c r="W4" i="1"/>
  <c r="AA14" i="11"/>
  <c r="AA22" i="11"/>
  <c r="AA13" i="11"/>
  <c r="AA7" i="11"/>
  <c r="AA15" i="11"/>
  <c r="AA23" i="11"/>
  <c r="AA12" i="11"/>
  <c r="AA8" i="11"/>
  <c r="AA16" i="11"/>
  <c r="AA24" i="11"/>
  <c r="AA9" i="11"/>
  <c r="AA17" i="11"/>
  <c r="AA25" i="11"/>
  <c r="AA10" i="11"/>
  <c r="AA18" i="11"/>
  <c r="AA26" i="11"/>
  <c r="AA20" i="11"/>
  <c r="AA11" i="11"/>
  <c r="AA19" i="11"/>
  <c r="AA27" i="11"/>
  <c r="AA21" i="11"/>
  <c r="AA6" i="11"/>
  <c r="D46" i="6"/>
  <c r="B67" i="6"/>
  <c r="C67" i="6" s="1"/>
  <c r="AB11" i="1"/>
  <c r="H5" i="7"/>
  <c r="K5" i="7"/>
  <c r="K2" i="7" s="1"/>
  <c r="H6" i="7"/>
  <c r="I6" i="7" s="1"/>
  <c r="J6" i="7" s="1"/>
  <c r="AK6" i="7" s="1"/>
  <c r="AK2" i="7" s="1"/>
  <c r="L6" i="7"/>
  <c r="M6" i="7" s="1"/>
  <c r="H346" i="11" l="1"/>
  <c r="T346" i="11" s="1"/>
  <c r="AA346" i="11" s="1"/>
  <c r="T317" i="11"/>
  <c r="AA317" i="11" s="1"/>
  <c r="H340" i="11"/>
  <c r="T340" i="11" s="1"/>
  <c r="AA340" i="11" s="1"/>
  <c r="T311" i="11"/>
  <c r="AA311" i="11" s="1"/>
  <c r="Z33" i="11"/>
  <c r="Z120" i="11"/>
  <c r="Z207" i="11"/>
  <c r="Z294" i="11"/>
  <c r="Z91" i="11"/>
  <c r="Z178" i="11"/>
  <c r="Z265" i="11"/>
  <c r="Z62" i="11"/>
  <c r="Z149" i="11"/>
  <c r="Z236" i="11"/>
  <c r="Z323" i="11"/>
  <c r="AB3" i="11"/>
  <c r="H333" i="11"/>
  <c r="T333" i="11" s="1"/>
  <c r="AA333" i="11" s="1"/>
  <c r="T304" i="11"/>
  <c r="AA304" i="11" s="1"/>
  <c r="H338" i="11"/>
  <c r="T338" i="11" s="1"/>
  <c r="AA338" i="11" s="1"/>
  <c r="T309" i="11"/>
  <c r="AA309" i="11" s="1"/>
  <c r="H341" i="11"/>
  <c r="T341" i="11" s="1"/>
  <c r="AA341" i="11" s="1"/>
  <c r="T312" i="11"/>
  <c r="AA312" i="11" s="1"/>
  <c r="H344" i="11"/>
  <c r="T344" i="11" s="1"/>
  <c r="AA344" i="11" s="1"/>
  <c r="T315" i="11"/>
  <c r="AA315" i="11" s="1"/>
  <c r="H335" i="11"/>
  <c r="T335" i="11" s="1"/>
  <c r="AA335" i="11" s="1"/>
  <c r="T306" i="11"/>
  <c r="AA306" i="11" s="1"/>
  <c r="H332" i="11"/>
  <c r="T332" i="11" s="1"/>
  <c r="AA332" i="11" s="1"/>
  <c r="T303" i="11"/>
  <c r="AA303" i="11" s="1"/>
  <c r="H337" i="11"/>
  <c r="T337" i="11" s="1"/>
  <c r="AA337" i="11" s="1"/>
  <c r="T308" i="11"/>
  <c r="AA308" i="11" s="1"/>
  <c r="H342" i="11"/>
  <c r="T342" i="11" s="1"/>
  <c r="AA342" i="11" s="1"/>
  <c r="T313" i="11"/>
  <c r="AA313" i="11" s="1"/>
  <c r="H330" i="11"/>
  <c r="T330" i="11" s="1"/>
  <c r="AA330" i="11" s="1"/>
  <c r="T301" i="11"/>
  <c r="AA301" i="11" s="1"/>
  <c r="H331" i="11"/>
  <c r="T331" i="11" s="1"/>
  <c r="AA331" i="11" s="1"/>
  <c r="T302" i="11"/>
  <c r="AA302" i="11" s="1"/>
  <c r="H343" i="11"/>
  <c r="T343" i="11" s="1"/>
  <c r="AA343" i="11" s="1"/>
  <c r="T314" i="11"/>
  <c r="AA314" i="11" s="1"/>
  <c r="H326" i="11"/>
  <c r="T326" i="11" s="1"/>
  <c r="AA326" i="11" s="1"/>
  <c r="T297" i="11"/>
  <c r="AA297" i="11" s="1"/>
  <c r="H328" i="11"/>
  <c r="T328" i="11" s="1"/>
  <c r="AA328" i="11" s="1"/>
  <c r="T299" i="11"/>
  <c r="AA299" i="11" s="1"/>
  <c r="H339" i="11"/>
  <c r="T339" i="11" s="1"/>
  <c r="AA339" i="11" s="1"/>
  <c r="T310" i="11"/>
  <c r="AA310" i="11" s="1"/>
  <c r="G63" i="11"/>
  <c r="S34" i="11"/>
  <c r="H325" i="11"/>
  <c r="T325" i="11" s="1"/>
  <c r="AA325" i="11" s="1"/>
  <c r="T296" i="11"/>
  <c r="AA296" i="11" s="1"/>
  <c r="H336" i="11"/>
  <c r="T336" i="11" s="1"/>
  <c r="AA336" i="11" s="1"/>
  <c r="T307" i="11"/>
  <c r="AA307" i="11" s="1"/>
  <c r="H327" i="11"/>
  <c r="T327" i="11" s="1"/>
  <c r="AA327" i="11" s="1"/>
  <c r="T298" i="11"/>
  <c r="AA298" i="11" s="1"/>
  <c r="O41" i="9"/>
  <c r="K31" i="9"/>
  <c r="W5" i="10"/>
  <c r="W4" i="10" s="1"/>
  <c r="W25" i="10" s="1"/>
  <c r="L42" i="9"/>
  <c r="H334" i="11"/>
  <c r="T334" i="11" s="1"/>
  <c r="AA334" i="11" s="1"/>
  <c r="T305" i="11"/>
  <c r="AA305" i="11" s="1"/>
  <c r="H329" i="11"/>
  <c r="T329" i="11" s="1"/>
  <c r="AA329" i="11" s="1"/>
  <c r="T300" i="11"/>
  <c r="AA300" i="11" s="1"/>
  <c r="H345" i="11"/>
  <c r="T345" i="11" s="1"/>
  <c r="AA345" i="11" s="1"/>
  <c r="T316" i="11"/>
  <c r="AA316" i="11" s="1"/>
  <c r="AB148" i="11"/>
  <c r="O30" i="10" s="1"/>
  <c r="AB322" i="11"/>
  <c r="AA30" i="10" s="1"/>
  <c r="AB119" i="11"/>
  <c r="M30" i="10" s="1"/>
  <c r="AB90" i="11"/>
  <c r="K30" i="10" s="1"/>
  <c r="AB3" i="2"/>
  <c r="AB293" i="11"/>
  <c r="Y30" i="10" s="1"/>
  <c r="AB61" i="11"/>
  <c r="I30" i="10" s="1"/>
  <c r="AB206" i="11"/>
  <c r="S30" i="10" s="1"/>
  <c r="AB264" i="11"/>
  <c r="W30" i="10" s="1"/>
  <c r="AB177" i="11"/>
  <c r="Q30" i="10" s="1"/>
  <c r="AB235" i="11"/>
  <c r="U30" i="10" s="1"/>
  <c r="AB32" i="11"/>
  <c r="G30" i="10" s="1"/>
  <c r="AH293" i="1"/>
  <c r="M122" i="10"/>
  <c r="AA122" i="10"/>
  <c r="K122" i="10"/>
  <c r="Y122" i="10"/>
  <c r="I122" i="10"/>
  <c r="W122" i="10"/>
  <c r="G122" i="10"/>
  <c r="U122" i="10"/>
  <c r="S122" i="10"/>
  <c r="Q122" i="10"/>
  <c r="O122" i="10"/>
  <c r="X34" i="11"/>
  <c r="X5" i="11"/>
  <c r="W323" i="1"/>
  <c r="W91" i="1"/>
  <c r="W120" i="1" s="1"/>
  <c r="W178" i="1"/>
  <c r="W265" i="1"/>
  <c r="W33" i="1"/>
  <c r="W207" i="1"/>
  <c r="W294" i="1"/>
  <c r="W62" i="1"/>
  <c r="W149" i="1"/>
  <c r="W236" i="1"/>
  <c r="Z236" i="1"/>
  <c r="Z323" i="1"/>
  <c r="Z91" i="1"/>
  <c r="Z120" i="1" s="1"/>
  <c r="Z178" i="1"/>
  <c r="Z265" i="1"/>
  <c r="Z33" i="1"/>
  <c r="Z207" i="1"/>
  <c r="Z294" i="1"/>
  <c r="Z62" i="1"/>
  <c r="Z149" i="1"/>
  <c r="O6" i="7"/>
  <c r="P6" i="7" s="1"/>
  <c r="Z2" i="7"/>
  <c r="Q2" i="7"/>
  <c r="W2" i="7"/>
  <c r="I5" i="7"/>
  <c r="H2" i="7"/>
  <c r="N2" i="7"/>
  <c r="Y323" i="1"/>
  <c r="Y207" i="1"/>
  <c r="Y91" i="1"/>
  <c r="Y120" i="1" s="1"/>
  <c r="Y265" i="1"/>
  <c r="Y149" i="1"/>
  <c r="Y33" i="1"/>
  <c r="Y236" i="1"/>
  <c r="Y294" i="1"/>
  <c r="Y178" i="1"/>
  <c r="Y62" i="1"/>
  <c r="Y265" i="11"/>
  <c r="Y294" i="11"/>
  <c r="Y178" i="11"/>
  <c r="Y62" i="11"/>
  <c r="Y236" i="11"/>
  <c r="Y120" i="11"/>
  <c r="Y323" i="11"/>
  <c r="Y207" i="11"/>
  <c r="Y91" i="11"/>
  <c r="Y149" i="11"/>
  <c r="Y33" i="11"/>
  <c r="X149" i="1"/>
  <c r="X178" i="1"/>
  <c r="X207" i="1"/>
  <c r="X236" i="1"/>
  <c r="X265" i="1"/>
  <c r="X33" i="1"/>
  <c r="X294" i="1"/>
  <c r="X62" i="1"/>
  <c r="X323" i="1"/>
  <c r="X91" i="1"/>
  <c r="X120" i="1" s="1"/>
  <c r="X236" i="11"/>
  <c r="X33" i="11"/>
  <c r="X294" i="11"/>
  <c r="X265" i="11"/>
  <c r="X62" i="11"/>
  <c r="X323" i="11"/>
  <c r="X91" i="11"/>
  <c r="X120" i="11"/>
  <c r="X149" i="11"/>
  <c r="X207" i="11"/>
  <c r="X178" i="11"/>
  <c r="AH322" i="1"/>
  <c r="AB3" i="1"/>
  <c r="G92" i="11" l="1"/>
  <c r="S63" i="11"/>
  <c r="AA5" i="10"/>
  <c r="AA4" i="10" s="1"/>
  <c r="AA25" i="10" s="1"/>
  <c r="N44" i="9"/>
  <c r="Y5" i="10"/>
  <c r="Y4" i="10" s="1"/>
  <c r="Y25" i="10" s="1"/>
  <c r="M43" i="9"/>
  <c r="O42" i="9"/>
  <c r="L31" i="9"/>
  <c r="E30" i="10"/>
  <c r="AC30" i="10" s="1"/>
  <c r="AC123" i="10"/>
  <c r="AC122" i="10" s="1"/>
  <c r="E122" i="10"/>
  <c r="AA113" i="10"/>
  <c r="AA102" i="10" s="1"/>
  <c r="K113" i="10"/>
  <c r="K102" i="10" s="1"/>
  <c r="Y113" i="10"/>
  <c r="Y102" i="10" s="1"/>
  <c r="I113" i="10"/>
  <c r="I102" i="10" s="1"/>
  <c r="W113" i="10"/>
  <c r="W102" i="10" s="1"/>
  <c r="G113" i="10"/>
  <c r="G102" i="10" s="1"/>
  <c r="O113" i="10"/>
  <c r="O102" i="10" s="1"/>
  <c r="M113" i="10"/>
  <c r="M102" i="10" s="1"/>
  <c r="U113" i="10"/>
  <c r="U102" i="10" s="1"/>
  <c r="E113" i="10"/>
  <c r="S113" i="10"/>
  <c r="S102" i="10" s="1"/>
  <c r="Q113" i="10"/>
  <c r="Q102" i="10" s="1"/>
  <c r="D14" i="6"/>
  <c r="N3" i="3" s="1"/>
  <c r="I2" i="7"/>
  <c r="L5" i="7"/>
  <c r="J5" i="7"/>
  <c r="J2" i="7" s="1"/>
  <c r="R6" i="7"/>
  <c r="O43" i="9" l="1"/>
  <c r="M31" i="9"/>
  <c r="N31" i="9"/>
  <c r="O44" i="9"/>
  <c r="X63" i="11"/>
  <c r="G121" i="11"/>
  <c r="S92" i="11"/>
  <c r="L2" i="7"/>
  <c r="M5" i="7"/>
  <c r="M2" i="7" s="1"/>
  <c r="O5" i="7"/>
  <c r="P119" i="1"/>
  <c r="P67" i="5"/>
  <c r="P51" i="5"/>
  <c r="P35" i="5"/>
  <c r="P148" i="11"/>
  <c r="P3" i="11"/>
  <c r="P88" i="4"/>
  <c r="P115" i="2"/>
  <c r="P61" i="11"/>
  <c r="P19" i="5"/>
  <c r="P105" i="4"/>
  <c r="P67" i="2"/>
  <c r="P3" i="2"/>
  <c r="P235" i="1"/>
  <c r="P90" i="11"/>
  <c r="P177" i="1"/>
  <c r="P293" i="11"/>
  <c r="P32" i="11"/>
  <c r="P91" i="5"/>
  <c r="P75" i="5"/>
  <c r="P3" i="1"/>
  <c r="P139" i="4"/>
  <c r="P71" i="4"/>
  <c r="P11" i="5"/>
  <c r="P163" i="2"/>
  <c r="P99" i="2"/>
  <c r="P35" i="2"/>
  <c r="P206" i="1"/>
  <c r="P322" i="11"/>
  <c r="P119" i="11"/>
  <c r="P32" i="1"/>
  <c r="P235" i="11"/>
  <c r="P156" i="4"/>
  <c r="P20" i="4"/>
  <c r="P179" i="2"/>
  <c r="P51" i="2"/>
  <c r="P83" i="5"/>
  <c r="P173" i="4"/>
  <c r="P37" i="4"/>
  <c r="P131" i="2"/>
  <c r="P322" i="1"/>
  <c r="P264" i="1"/>
  <c r="P61" i="1"/>
  <c r="P90" i="1"/>
  <c r="P206" i="11"/>
  <c r="P177" i="11"/>
  <c r="P59" i="5"/>
  <c r="P43" i="5"/>
  <c r="P148" i="1"/>
  <c r="P3" i="4"/>
  <c r="P27" i="5"/>
  <c r="P19" i="2"/>
  <c r="P293" i="1"/>
  <c r="P3" i="5"/>
  <c r="P122" i="4"/>
  <c r="P190" i="4"/>
  <c r="P147" i="2"/>
  <c r="P264" i="11"/>
  <c r="P83" i="2"/>
  <c r="P54" i="4"/>
  <c r="E102" i="10"/>
  <c r="AC113" i="10"/>
  <c r="AC102" i="10" s="1"/>
  <c r="S6" i="7"/>
  <c r="U6" i="7"/>
  <c r="X92" i="11" l="1"/>
  <c r="G150" i="11"/>
  <c r="S121" i="11"/>
  <c r="Y92" i="11"/>
  <c r="Y121" i="11"/>
  <c r="Y63" i="11"/>
  <c r="Y34" i="11"/>
  <c r="Y5" i="11"/>
  <c r="V6" i="7"/>
  <c r="X6" i="7"/>
  <c r="P5" i="7"/>
  <c r="P2" i="7" s="1"/>
  <c r="O2" i="7"/>
  <c r="R5" i="7"/>
  <c r="X121" i="11" l="1"/>
  <c r="G179" i="11"/>
  <c r="S150" i="11"/>
  <c r="S5" i="7"/>
  <c r="S2" i="7" s="1"/>
  <c r="R2" i="7"/>
  <c r="U5" i="7"/>
  <c r="Y6" i="7"/>
  <c r="AA6" i="7"/>
  <c r="T7" i="3"/>
  <c r="V7" i="3" s="1"/>
  <c r="E7" i="3" s="1"/>
  <c r="G7" i="11" s="1"/>
  <c r="T8" i="3"/>
  <c r="V8" i="3" s="1"/>
  <c r="E8" i="3" s="1"/>
  <c r="G8" i="11" s="1"/>
  <c r="T9" i="3"/>
  <c r="V9" i="3" s="1"/>
  <c r="E9" i="3" s="1"/>
  <c r="G9" i="11" s="1"/>
  <c r="T10" i="3"/>
  <c r="V10" i="3" s="1"/>
  <c r="E10" i="3" s="1"/>
  <c r="G10" i="11" s="1"/>
  <c r="T11" i="3"/>
  <c r="V11" i="3" s="1"/>
  <c r="E11" i="3" s="1"/>
  <c r="G11" i="11" s="1"/>
  <c r="T12" i="3"/>
  <c r="V12" i="3" s="1"/>
  <c r="E12" i="3" s="1"/>
  <c r="G12" i="11" s="1"/>
  <c r="T13" i="3"/>
  <c r="V13" i="3" s="1"/>
  <c r="E13" i="3" s="1"/>
  <c r="G13" i="11" s="1"/>
  <c r="T14" i="3"/>
  <c r="V14" i="3" s="1"/>
  <c r="E14" i="3" s="1"/>
  <c r="G14" i="11" s="1"/>
  <c r="T15" i="3"/>
  <c r="V15" i="3" s="1"/>
  <c r="E15" i="3" s="1"/>
  <c r="G15" i="11" s="1"/>
  <c r="T16" i="3"/>
  <c r="V16" i="3" s="1"/>
  <c r="E16" i="3" s="1"/>
  <c r="G16" i="11" s="1"/>
  <c r="T17" i="3"/>
  <c r="V17" i="3" s="1"/>
  <c r="E17" i="3" s="1"/>
  <c r="G17" i="11" s="1"/>
  <c r="T18" i="3"/>
  <c r="V18" i="3" s="1"/>
  <c r="E18" i="3" s="1"/>
  <c r="G18" i="11" s="1"/>
  <c r="T19" i="3"/>
  <c r="V19" i="3" s="1"/>
  <c r="E19" i="3" s="1"/>
  <c r="G19" i="11" s="1"/>
  <c r="T20" i="3"/>
  <c r="V20" i="3" s="1"/>
  <c r="E20" i="3" s="1"/>
  <c r="G20" i="11" s="1"/>
  <c r="T21" i="3"/>
  <c r="V21" i="3" s="1"/>
  <c r="E21" i="3" s="1"/>
  <c r="G21" i="11" s="1"/>
  <c r="T22" i="3"/>
  <c r="V22" i="3" s="1"/>
  <c r="E22" i="3" s="1"/>
  <c r="G22" i="11" s="1"/>
  <c r="T23" i="3"/>
  <c r="V23" i="3" s="1"/>
  <c r="E23" i="3" s="1"/>
  <c r="G23" i="11" s="1"/>
  <c r="T24" i="3"/>
  <c r="V24" i="3" s="1"/>
  <c r="E24" i="3" s="1"/>
  <c r="G24" i="11" s="1"/>
  <c r="T25" i="3"/>
  <c r="V25" i="3" s="1"/>
  <c r="E25" i="3" s="1"/>
  <c r="G25" i="11" s="1"/>
  <c r="T26" i="3"/>
  <c r="V26" i="3" s="1"/>
  <c r="E26" i="3" s="1"/>
  <c r="G26" i="11" s="1"/>
  <c r="T27" i="3"/>
  <c r="V27" i="3" s="1"/>
  <c r="E27" i="3" s="1"/>
  <c r="G27" i="11" s="1"/>
  <c r="T6" i="3"/>
  <c r="V6" i="3" s="1"/>
  <c r="L3" i="3"/>
  <c r="J3" i="3"/>
  <c r="I3" i="3"/>
  <c r="K3" i="3"/>
  <c r="C6" i="5"/>
  <c r="C5" i="5"/>
  <c r="C6" i="4"/>
  <c r="C7" i="4"/>
  <c r="E7" i="4" s="1"/>
  <c r="E17" i="1" s="1"/>
  <c r="E46" i="1" s="1"/>
  <c r="E75" i="1" s="1"/>
  <c r="E104" i="1" s="1"/>
  <c r="E133" i="1" s="1"/>
  <c r="E162" i="1" s="1"/>
  <c r="E191" i="1" s="1"/>
  <c r="E220" i="1" s="1"/>
  <c r="E249" i="1" s="1"/>
  <c r="E278" i="1" s="1"/>
  <c r="E307" i="1" s="1"/>
  <c r="E336" i="1" s="1"/>
  <c r="C8" i="4"/>
  <c r="C9" i="4"/>
  <c r="C10" i="4"/>
  <c r="C11" i="4"/>
  <c r="H11" i="4" s="1"/>
  <c r="C12" i="4"/>
  <c r="C13" i="4"/>
  <c r="C14" i="4"/>
  <c r="C15" i="4"/>
  <c r="C5" i="4"/>
  <c r="F5" i="4" s="1"/>
  <c r="F15" i="1" s="1"/>
  <c r="F44" i="1" s="1"/>
  <c r="F73" i="1" s="1"/>
  <c r="F102" i="1" s="1"/>
  <c r="F131" i="1" s="1"/>
  <c r="F160" i="1" s="1"/>
  <c r="F189" i="1" s="1"/>
  <c r="F218" i="1" s="1"/>
  <c r="F247" i="1" s="1"/>
  <c r="F276" i="1" s="1"/>
  <c r="F305" i="1" s="1"/>
  <c r="F334" i="1" s="1"/>
  <c r="C6" i="2"/>
  <c r="C22" i="2" s="1"/>
  <c r="C7" i="2"/>
  <c r="C23" i="2" s="1"/>
  <c r="C8" i="2"/>
  <c r="C24" i="2" s="1"/>
  <c r="C9" i="2"/>
  <c r="C25" i="2" s="1"/>
  <c r="C10" i="2"/>
  <c r="C26" i="2" s="1"/>
  <c r="C11" i="2"/>
  <c r="C27" i="2" s="1"/>
  <c r="C12" i="2"/>
  <c r="C13" i="2"/>
  <c r="C14" i="2"/>
  <c r="C30" i="2" s="1"/>
  <c r="C5" i="2"/>
  <c r="C21" i="2" s="1"/>
  <c r="B27" i="1"/>
  <c r="B56" i="1" s="1"/>
  <c r="B85" i="1" s="1"/>
  <c r="B114" i="1" s="1"/>
  <c r="B143" i="1" s="1"/>
  <c r="B172" i="1" s="1"/>
  <c r="B201" i="1" s="1"/>
  <c r="B230" i="1" s="1"/>
  <c r="B259" i="1" s="1"/>
  <c r="B288" i="1" s="1"/>
  <c r="B317" i="1" s="1"/>
  <c r="B346" i="1" s="1"/>
  <c r="R27" i="1"/>
  <c r="R26" i="1"/>
  <c r="C26" i="1"/>
  <c r="C55" i="1" s="1"/>
  <c r="C84" i="1" s="1"/>
  <c r="C113" i="1" s="1"/>
  <c r="C142" i="1" s="1"/>
  <c r="C171" i="1" s="1"/>
  <c r="C200" i="1" s="1"/>
  <c r="C229" i="1" s="1"/>
  <c r="C258" i="1" s="1"/>
  <c r="C287" i="1" s="1"/>
  <c r="C316" i="1" s="1"/>
  <c r="C345" i="1" s="1"/>
  <c r="B26" i="1"/>
  <c r="B55" i="1" s="1"/>
  <c r="B84" i="1" s="1"/>
  <c r="B113" i="1" s="1"/>
  <c r="B142" i="1" s="1"/>
  <c r="B171" i="1" s="1"/>
  <c r="B200" i="1" s="1"/>
  <c r="B229" i="1" s="1"/>
  <c r="B258" i="1" s="1"/>
  <c r="B287" i="1" s="1"/>
  <c r="B316" i="1" s="1"/>
  <c r="B345" i="1" s="1"/>
  <c r="B16" i="1"/>
  <c r="B45" i="1" s="1"/>
  <c r="B74" i="1" s="1"/>
  <c r="B103" i="1" s="1"/>
  <c r="B132" i="1" s="1"/>
  <c r="B161" i="1" s="1"/>
  <c r="B190" i="1" s="1"/>
  <c r="B219" i="1" s="1"/>
  <c r="B248" i="1" s="1"/>
  <c r="B277" i="1" s="1"/>
  <c r="B306" i="1" s="1"/>
  <c r="B335" i="1" s="1"/>
  <c r="R16" i="1"/>
  <c r="B17" i="1"/>
  <c r="B46" i="1" s="1"/>
  <c r="B75" i="1" s="1"/>
  <c r="B104" i="1" s="1"/>
  <c r="B133" i="1" s="1"/>
  <c r="B162" i="1" s="1"/>
  <c r="B191" i="1" s="1"/>
  <c r="B220" i="1" s="1"/>
  <c r="B249" i="1" s="1"/>
  <c r="B278" i="1" s="1"/>
  <c r="B307" i="1" s="1"/>
  <c r="B336" i="1" s="1"/>
  <c r="R17" i="1"/>
  <c r="B18" i="1"/>
  <c r="B47" i="1" s="1"/>
  <c r="B76" i="1" s="1"/>
  <c r="B105" i="1" s="1"/>
  <c r="B134" i="1" s="1"/>
  <c r="B163" i="1" s="1"/>
  <c r="B192" i="1" s="1"/>
  <c r="B221" i="1" s="1"/>
  <c r="B250" i="1" s="1"/>
  <c r="B279" i="1" s="1"/>
  <c r="B308" i="1" s="1"/>
  <c r="B337" i="1" s="1"/>
  <c r="R18" i="1"/>
  <c r="B19" i="1"/>
  <c r="B48" i="1" s="1"/>
  <c r="B77" i="1" s="1"/>
  <c r="B106" i="1" s="1"/>
  <c r="B135" i="1" s="1"/>
  <c r="B164" i="1" s="1"/>
  <c r="B193" i="1" s="1"/>
  <c r="B222" i="1" s="1"/>
  <c r="B251" i="1" s="1"/>
  <c r="B280" i="1" s="1"/>
  <c r="B309" i="1" s="1"/>
  <c r="B338" i="1" s="1"/>
  <c r="C19" i="1"/>
  <c r="C48" i="1" s="1"/>
  <c r="C77" i="1" s="1"/>
  <c r="C106" i="1" s="1"/>
  <c r="C135" i="1" s="1"/>
  <c r="C164" i="1" s="1"/>
  <c r="C193" i="1" s="1"/>
  <c r="C222" i="1" s="1"/>
  <c r="C251" i="1" s="1"/>
  <c r="C280" i="1" s="1"/>
  <c r="C309" i="1" s="1"/>
  <c r="C338" i="1" s="1"/>
  <c r="R19" i="1"/>
  <c r="B20" i="1"/>
  <c r="B49" i="1" s="1"/>
  <c r="B78" i="1" s="1"/>
  <c r="B107" i="1" s="1"/>
  <c r="B136" i="1" s="1"/>
  <c r="B165" i="1" s="1"/>
  <c r="B194" i="1" s="1"/>
  <c r="B223" i="1" s="1"/>
  <c r="B252" i="1" s="1"/>
  <c r="B281" i="1" s="1"/>
  <c r="B310" i="1" s="1"/>
  <c r="B339" i="1" s="1"/>
  <c r="R20" i="1"/>
  <c r="B21" i="1"/>
  <c r="B50" i="1" s="1"/>
  <c r="B79" i="1" s="1"/>
  <c r="B108" i="1" s="1"/>
  <c r="B137" i="1" s="1"/>
  <c r="B166" i="1" s="1"/>
  <c r="B195" i="1" s="1"/>
  <c r="B224" i="1" s="1"/>
  <c r="B253" i="1" s="1"/>
  <c r="B282" i="1" s="1"/>
  <c r="B311" i="1" s="1"/>
  <c r="B340" i="1" s="1"/>
  <c r="R21" i="1"/>
  <c r="B22" i="1"/>
  <c r="B51" i="1" s="1"/>
  <c r="B80" i="1" s="1"/>
  <c r="B109" i="1" s="1"/>
  <c r="B138" i="1" s="1"/>
  <c r="B167" i="1" s="1"/>
  <c r="B196" i="1" s="1"/>
  <c r="B225" i="1" s="1"/>
  <c r="B254" i="1" s="1"/>
  <c r="B283" i="1" s="1"/>
  <c r="B312" i="1" s="1"/>
  <c r="B341" i="1" s="1"/>
  <c r="R22" i="1"/>
  <c r="B23" i="1"/>
  <c r="B52" i="1" s="1"/>
  <c r="B81" i="1" s="1"/>
  <c r="B110" i="1" s="1"/>
  <c r="B139" i="1" s="1"/>
  <c r="B168" i="1" s="1"/>
  <c r="B197" i="1" s="1"/>
  <c r="B226" i="1" s="1"/>
  <c r="B255" i="1" s="1"/>
  <c r="B284" i="1" s="1"/>
  <c r="B313" i="1" s="1"/>
  <c r="B342" i="1" s="1"/>
  <c r="R23" i="1"/>
  <c r="B24" i="1"/>
  <c r="B53" i="1" s="1"/>
  <c r="B82" i="1" s="1"/>
  <c r="B111" i="1" s="1"/>
  <c r="B140" i="1" s="1"/>
  <c r="B169" i="1" s="1"/>
  <c r="B198" i="1" s="1"/>
  <c r="B227" i="1" s="1"/>
  <c r="B256" i="1" s="1"/>
  <c r="B285" i="1" s="1"/>
  <c r="B314" i="1" s="1"/>
  <c r="B343" i="1" s="1"/>
  <c r="R24" i="1"/>
  <c r="B25" i="1"/>
  <c r="B54" i="1" s="1"/>
  <c r="B83" i="1" s="1"/>
  <c r="B112" i="1" s="1"/>
  <c r="B141" i="1" s="1"/>
  <c r="B170" i="1" s="1"/>
  <c r="B199" i="1" s="1"/>
  <c r="B228" i="1" s="1"/>
  <c r="B257" i="1" s="1"/>
  <c r="B286" i="1" s="1"/>
  <c r="B315" i="1" s="1"/>
  <c r="B344" i="1" s="1"/>
  <c r="C25" i="1"/>
  <c r="C54" i="1" s="1"/>
  <c r="C83" i="1" s="1"/>
  <c r="C112" i="1" s="1"/>
  <c r="C141" i="1" s="1"/>
  <c r="C170" i="1" s="1"/>
  <c r="C199" i="1" s="1"/>
  <c r="C228" i="1" s="1"/>
  <c r="C257" i="1" s="1"/>
  <c r="C286" i="1" s="1"/>
  <c r="C315" i="1" s="1"/>
  <c r="C344" i="1" s="1"/>
  <c r="R25" i="1"/>
  <c r="R15" i="1"/>
  <c r="B15" i="1"/>
  <c r="B44" i="1" s="1"/>
  <c r="B73" i="1" s="1"/>
  <c r="B102" i="1" s="1"/>
  <c r="B131" i="1" s="1"/>
  <c r="B160" i="1" s="1"/>
  <c r="B189" i="1" s="1"/>
  <c r="B218" i="1" s="1"/>
  <c r="B247" i="1" s="1"/>
  <c r="B276" i="1" s="1"/>
  <c r="B305" i="1" s="1"/>
  <c r="B334" i="1" s="1"/>
  <c r="B6" i="1"/>
  <c r="B35" i="1" s="1"/>
  <c r="B64" i="1" s="1"/>
  <c r="B93" i="1" s="1"/>
  <c r="B122" i="1" s="1"/>
  <c r="B151" i="1" s="1"/>
  <c r="B180" i="1" s="1"/>
  <c r="B209" i="1" s="1"/>
  <c r="B238" i="1" s="1"/>
  <c r="B267" i="1" s="1"/>
  <c r="B296" i="1" s="1"/>
  <c r="B325" i="1" s="1"/>
  <c r="R6" i="1"/>
  <c r="AH6" i="1" s="1"/>
  <c r="B7" i="1"/>
  <c r="B36" i="1" s="1"/>
  <c r="B65" i="1" s="1"/>
  <c r="B94" i="1" s="1"/>
  <c r="B123" i="1" s="1"/>
  <c r="B152" i="1" s="1"/>
  <c r="B181" i="1" s="1"/>
  <c r="B210" i="1" s="1"/>
  <c r="B239" i="1" s="1"/>
  <c r="B268" i="1" s="1"/>
  <c r="B297" i="1" s="1"/>
  <c r="B326" i="1" s="1"/>
  <c r="R7" i="1"/>
  <c r="AH7" i="1" s="1"/>
  <c r="B8" i="1"/>
  <c r="B37" i="1" s="1"/>
  <c r="B66" i="1" s="1"/>
  <c r="B95" i="1" s="1"/>
  <c r="B124" i="1" s="1"/>
  <c r="B153" i="1" s="1"/>
  <c r="B182" i="1" s="1"/>
  <c r="B211" i="1" s="1"/>
  <c r="B240" i="1" s="1"/>
  <c r="B269" i="1" s="1"/>
  <c r="B298" i="1" s="1"/>
  <c r="B327" i="1" s="1"/>
  <c r="R8" i="1"/>
  <c r="AH8" i="1" s="1"/>
  <c r="B9" i="1"/>
  <c r="B38" i="1" s="1"/>
  <c r="B67" i="1" s="1"/>
  <c r="B96" i="1" s="1"/>
  <c r="B125" i="1" s="1"/>
  <c r="B154" i="1" s="1"/>
  <c r="B183" i="1" s="1"/>
  <c r="B212" i="1" s="1"/>
  <c r="B241" i="1" s="1"/>
  <c r="B270" i="1" s="1"/>
  <c r="B299" i="1" s="1"/>
  <c r="B328" i="1" s="1"/>
  <c r="R9" i="1"/>
  <c r="AH9" i="1" s="1"/>
  <c r="B10" i="1"/>
  <c r="B39" i="1" s="1"/>
  <c r="B68" i="1" s="1"/>
  <c r="B97" i="1" s="1"/>
  <c r="B126" i="1" s="1"/>
  <c r="B155" i="1" s="1"/>
  <c r="B184" i="1" s="1"/>
  <c r="B213" i="1" s="1"/>
  <c r="B242" i="1" s="1"/>
  <c r="B271" i="1" s="1"/>
  <c r="B300" i="1" s="1"/>
  <c r="B329" i="1" s="1"/>
  <c r="R10" i="1"/>
  <c r="B11" i="1"/>
  <c r="B40" i="1" s="1"/>
  <c r="B69" i="1" s="1"/>
  <c r="B98" i="1" s="1"/>
  <c r="B127" i="1" s="1"/>
  <c r="B156" i="1" s="1"/>
  <c r="B185" i="1" s="1"/>
  <c r="B214" i="1" s="1"/>
  <c r="B243" i="1" s="1"/>
  <c r="B272" i="1" s="1"/>
  <c r="B301" i="1" s="1"/>
  <c r="B330" i="1" s="1"/>
  <c r="R11" i="1"/>
  <c r="B12" i="1"/>
  <c r="B41" i="1" s="1"/>
  <c r="B70" i="1" s="1"/>
  <c r="B99" i="1" s="1"/>
  <c r="B128" i="1" s="1"/>
  <c r="B157" i="1" s="1"/>
  <c r="B186" i="1" s="1"/>
  <c r="B215" i="1" s="1"/>
  <c r="B244" i="1" s="1"/>
  <c r="B273" i="1" s="1"/>
  <c r="B302" i="1" s="1"/>
  <c r="B331" i="1" s="1"/>
  <c r="C12" i="1"/>
  <c r="C41" i="1" s="1"/>
  <c r="C70" i="1" s="1"/>
  <c r="C99" i="1" s="1"/>
  <c r="C128" i="1" s="1"/>
  <c r="C157" i="1" s="1"/>
  <c r="C186" i="1" s="1"/>
  <c r="C215" i="1" s="1"/>
  <c r="C244" i="1" s="1"/>
  <c r="C273" i="1" s="1"/>
  <c r="C302" i="1" s="1"/>
  <c r="C331" i="1" s="1"/>
  <c r="R12" i="1"/>
  <c r="B13" i="1"/>
  <c r="B42" i="1" s="1"/>
  <c r="B71" i="1" s="1"/>
  <c r="B100" i="1" s="1"/>
  <c r="B129" i="1" s="1"/>
  <c r="B158" i="1" s="1"/>
  <c r="B187" i="1" s="1"/>
  <c r="B216" i="1" s="1"/>
  <c r="B245" i="1" s="1"/>
  <c r="B274" i="1" s="1"/>
  <c r="B303" i="1" s="1"/>
  <c r="B332" i="1" s="1"/>
  <c r="R13" i="1"/>
  <c r="B14" i="1"/>
  <c r="B43" i="1" s="1"/>
  <c r="B72" i="1" s="1"/>
  <c r="B101" i="1" s="1"/>
  <c r="B130" i="1" s="1"/>
  <c r="B159" i="1" s="1"/>
  <c r="B188" i="1" s="1"/>
  <c r="B217" i="1" s="1"/>
  <c r="B246" i="1" s="1"/>
  <c r="B275" i="1" s="1"/>
  <c r="B304" i="1" s="1"/>
  <c r="B333" i="1" s="1"/>
  <c r="R14" i="1"/>
  <c r="R5" i="1"/>
  <c r="AH5" i="1" s="1"/>
  <c r="C5" i="1"/>
  <c r="C34" i="1" s="1"/>
  <c r="C63" i="1" s="1"/>
  <c r="C92" i="1" s="1"/>
  <c r="C121" i="1" s="1"/>
  <c r="C150" i="1" s="1"/>
  <c r="C179" i="1" s="1"/>
  <c r="C208" i="1" s="1"/>
  <c r="C237" i="1" s="1"/>
  <c r="C266" i="1" s="1"/>
  <c r="C295" i="1" s="1"/>
  <c r="C324" i="1" s="1"/>
  <c r="B5" i="1"/>
  <c r="B34" i="1" s="1"/>
  <c r="B63" i="1" s="1"/>
  <c r="B92" i="1" s="1"/>
  <c r="B121" i="1" s="1"/>
  <c r="B150" i="1" s="1"/>
  <c r="B179" i="1" s="1"/>
  <c r="B208" i="1" s="1"/>
  <c r="B237" i="1" s="1"/>
  <c r="B266" i="1" s="1"/>
  <c r="B295" i="1" s="1"/>
  <c r="B324" i="1" s="1"/>
  <c r="D7" i="4"/>
  <c r="D17" i="1" s="1"/>
  <c r="D46" i="1" s="1"/>
  <c r="D75" i="1" s="1"/>
  <c r="D104" i="1" s="1"/>
  <c r="D133" i="1" s="1"/>
  <c r="D162" i="1" s="1"/>
  <c r="D191" i="1" s="1"/>
  <c r="D220" i="1" s="1"/>
  <c r="D249" i="1" s="1"/>
  <c r="D278" i="1" s="1"/>
  <c r="D307" i="1" s="1"/>
  <c r="D336" i="1" s="1"/>
  <c r="F7" i="4"/>
  <c r="F17" i="1" s="1"/>
  <c r="F46" i="1" s="1"/>
  <c r="F75" i="1" s="1"/>
  <c r="F104" i="1" s="1"/>
  <c r="F133" i="1" s="1"/>
  <c r="F162" i="1" s="1"/>
  <c r="F191" i="1" s="1"/>
  <c r="F220" i="1" s="1"/>
  <c r="F249" i="1" s="1"/>
  <c r="F278" i="1" s="1"/>
  <c r="F307" i="1" s="1"/>
  <c r="F336" i="1" s="1"/>
  <c r="D8" i="4"/>
  <c r="D18" i="1" s="1"/>
  <c r="D47" i="1" s="1"/>
  <c r="D76" i="1" s="1"/>
  <c r="D105" i="1" s="1"/>
  <c r="D134" i="1" s="1"/>
  <c r="D163" i="1" s="1"/>
  <c r="D192" i="1" s="1"/>
  <c r="D221" i="1" s="1"/>
  <c r="D250" i="1" s="1"/>
  <c r="D279" i="1" s="1"/>
  <c r="D308" i="1" s="1"/>
  <c r="D337" i="1" s="1"/>
  <c r="E8" i="4"/>
  <c r="E18" i="1" s="1"/>
  <c r="E47" i="1" s="1"/>
  <c r="E76" i="1" s="1"/>
  <c r="E105" i="1" s="1"/>
  <c r="E134" i="1" s="1"/>
  <c r="E163" i="1" s="1"/>
  <c r="E192" i="1" s="1"/>
  <c r="E221" i="1" s="1"/>
  <c r="E250" i="1" s="1"/>
  <c r="E279" i="1" s="1"/>
  <c r="E308" i="1" s="1"/>
  <c r="E337" i="1" s="1"/>
  <c r="F8" i="4"/>
  <c r="F18" i="1" s="1"/>
  <c r="F47" i="1" s="1"/>
  <c r="F76" i="1" s="1"/>
  <c r="F105" i="1" s="1"/>
  <c r="F134" i="1" s="1"/>
  <c r="F163" i="1" s="1"/>
  <c r="F192" i="1" s="1"/>
  <c r="F221" i="1" s="1"/>
  <c r="F250" i="1" s="1"/>
  <c r="F279" i="1" s="1"/>
  <c r="F308" i="1" s="1"/>
  <c r="F337" i="1" s="1"/>
  <c r="H8" i="4"/>
  <c r="D9" i="4"/>
  <c r="D19" i="1" s="1"/>
  <c r="D48" i="1" s="1"/>
  <c r="D77" i="1" s="1"/>
  <c r="D106" i="1" s="1"/>
  <c r="D135" i="1" s="1"/>
  <c r="D164" i="1" s="1"/>
  <c r="D193" i="1" s="1"/>
  <c r="D222" i="1" s="1"/>
  <c r="D251" i="1" s="1"/>
  <c r="D280" i="1" s="1"/>
  <c r="D309" i="1" s="1"/>
  <c r="D338" i="1" s="1"/>
  <c r="E9" i="4"/>
  <c r="E19" i="1" s="1"/>
  <c r="E48" i="1" s="1"/>
  <c r="E77" i="1" s="1"/>
  <c r="E106" i="1" s="1"/>
  <c r="E135" i="1" s="1"/>
  <c r="E164" i="1" s="1"/>
  <c r="E193" i="1" s="1"/>
  <c r="E222" i="1" s="1"/>
  <c r="E251" i="1" s="1"/>
  <c r="E280" i="1" s="1"/>
  <c r="E309" i="1" s="1"/>
  <c r="E338" i="1" s="1"/>
  <c r="F9" i="4"/>
  <c r="F19" i="1" s="1"/>
  <c r="F48" i="1" s="1"/>
  <c r="F77" i="1" s="1"/>
  <c r="F106" i="1" s="1"/>
  <c r="F135" i="1" s="1"/>
  <c r="F164" i="1" s="1"/>
  <c r="F193" i="1" s="1"/>
  <c r="F222" i="1" s="1"/>
  <c r="F251" i="1" s="1"/>
  <c r="F280" i="1" s="1"/>
  <c r="F309" i="1" s="1"/>
  <c r="F338" i="1" s="1"/>
  <c r="H9" i="4"/>
  <c r="D10" i="4"/>
  <c r="D20" i="1" s="1"/>
  <c r="D49" i="1" s="1"/>
  <c r="D78" i="1" s="1"/>
  <c r="D107" i="1" s="1"/>
  <c r="D136" i="1" s="1"/>
  <c r="D165" i="1" s="1"/>
  <c r="D194" i="1" s="1"/>
  <c r="D223" i="1" s="1"/>
  <c r="D252" i="1" s="1"/>
  <c r="D281" i="1" s="1"/>
  <c r="D310" i="1" s="1"/>
  <c r="D339" i="1" s="1"/>
  <c r="D15" i="4"/>
  <c r="D25" i="1" s="1"/>
  <c r="D54" i="1" s="1"/>
  <c r="D83" i="1" s="1"/>
  <c r="D112" i="1" s="1"/>
  <c r="D141" i="1" s="1"/>
  <c r="D170" i="1" s="1"/>
  <c r="D199" i="1" s="1"/>
  <c r="D228" i="1" s="1"/>
  <c r="D257" i="1" s="1"/>
  <c r="D286" i="1" s="1"/>
  <c r="D315" i="1" s="1"/>
  <c r="D344" i="1" s="1"/>
  <c r="E15" i="4"/>
  <c r="E25" i="1" s="1"/>
  <c r="E54" i="1" s="1"/>
  <c r="E83" i="1" s="1"/>
  <c r="E112" i="1" s="1"/>
  <c r="E141" i="1" s="1"/>
  <c r="E170" i="1" s="1"/>
  <c r="E199" i="1" s="1"/>
  <c r="E228" i="1" s="1"/>
  <c r="E257" i="1" s="1"/>
  <c r="E286" i="1" s="1"/>
  <c r="E315" i="1" s="1"/>
  <c r="E344" i="1" s="1"/>
  <c r="F15" i="4"/>
  <c r="F25" i="1" s="1"/>
  <c r="F54" i="1" s="1"/>
  <c r="F83" i="1" s="1"/>
  <c r="F112" i="1" s="1"/>
  <c r="F141" i="1" s="1"/>
  <c r="F170" i="1" s="1"/>
  <c r="F199" i="1" s="1"/>
  <c r="F228" i="1" s="1"/>
  <c r="F257" i="1" s="1"/>
  <c r="F286" i="1" s="1"/>
  <c r="F315" i="1" s="1"/>
  <c r="F344" i="1" s="1"/>
  <c r="H15" i="4"/>
  <c r="H5" i="4"/>
  <c r="E5" i="4"/>
  <c r="E15" i="1" s="1"/>
  <c r="E44" i="1" s="1"/>
  <c r="E73" i="1" s="1"/>
  <c r="E102" i="1" s="1"/>
  <c r="E131" i="1" s="1"/>
  <c r="E160" i="1" s="1"/>
  <c r="E189" i="1" s="1"/>
  <c r="E218" i="1" s="1"/>
  <c r="E247" i="1" s="1"/>
  <c r="E276" i="1" s="1"/>
  <c r="E305" i="1" s="1"/>
  <c r="E334" i="1" s="1"/>
  <c r="D5" i="4"/>
  <c r="D15" i="1" s="1"/>
  <c r="D44" i="1" s="1"/>
  <c r="D73" i="1" s="1"/>
  <c r="D102" i="1" s="1"/>
  <c r="D131" i="1" s="1"/>
  <c r="D160" i="1" s="1"/>
  <c r="D189" i="1" s="1"/>
  <c r="D218" i="1" s="1"/>
  <c r="D247" i="1" s="1"/>
  <c r="D276" i="1" s="1"/>
  <c r="D305" i="1" s="1"/>
  <c r="D334" i="1" s="1"/>
  <c r="H12" i="2"/>
  <c r="H13" i="2"/>
  <c r="G5" i="2"/>
  <c r="F8" i="2"/>
  <c r="F8" i="1" s="1"/>
  <c r="F37" i="1" s="1"/>
  <c r="F66" i="1" s="1"/>
  <c r="F95" i="1" s="1"/>
  <c r="F124" i="1" s="1"/>
  <c r="F153" i="1" s="1"/>
  <c r="F182" i="1" s="1"/>
  <c r="F211" i="1" s="1"/>
  <c r="F240" i="1" s="1"/>
  <c r="F269" i="1" s="1"/>
  <c r="F298" i="1" s="1"/>
  <c r="F327" i="1" s="1"/>
  <c r="F12" i="2"/>
  <c r="F12" i="1" s="1"/>
  <c r="F41" i="1" s="1"/>
  <c r="F70" i="1" s="1"/>
  <c r="F99" i="1" s="1"/>
  <c r="F128" i="1" s="1"/>
  <c r="F157" i="1" s="1"/>
  <c r="F186" i="1" s="1"/>
  <c r="F215" i="1" s="1"/>
  <c r="F244" i="1" s="1"/>
  <c r="F273" i="1" s="1"/>
  <c r="F302" i="1" s="1"/>
  <c r="F331" i="1" s="1"/>
  <c r="F13" i="2"/>
  <c r="F13" i="1" s="1"/>
  <c r="F42" i="1" s="1"/>
  <c r="F71" i="1" s="1"/>
  <c r="F100" i="1" s="1"/>
  <c r="F129" i="1" s="1"/>
  <c r="F158" i="1" s="1"/>
  <c r="F187" i="1" s="1"/>
  <c r="F216" i="1" s="1"/>
  <c r="F245" i="1" s="1"/>
  <c r="F274" i="1" s="1"/>
  <c r="F303" i="1" s="1"/>
  <c r="F332" i="1" s="1"/>
  <c r="F14" i="2"/>
  <c r="F14" i="1" s="1"/>
  <c r="F43" i="1" s="1"/>
  <c r="F72" i="1" s="1"/>
  <c r="F101" i="1" s="1"/>
  <c r="F130" i="1" s="1"/>
  <c r="F159" i="1" s="1"/>
  <c r="F188" i="1" s="1"/>
  <c r="F217" i="1" s="1"/>
  <c r="F246" i="1" s="1"/>
  <c r="F275" i="1" s="1"/>
  <c r="F304" i="1" s="1"/>
  <c r="F333" i="1" s="1"/>
  <c r="E6" i="2"/>
  <c r="E6" i="1" s="1"/>
  <c r="E35" i="1" s="1"/>
  <c r="E64" i="1" s="1"/>
  <c r="E93" i="1" s="1"/>
  <c r="E122" i="1" s="1"/>
  <c r="E151" i="1" s="1"/>
  <c r="E180" i="1" s="1"/>
  <c r="E209" i="1" s="1"/>
  <c r="E238" i="1" s="1"/>
  <c r="E267" i="1" s="1"/>
  <c r="E296" i="1" s="1"/>
  <c r="E325" i="1" s="1"/>
  <c r="E12" i="2"/>
  <c r="E12" i="1" s="1"/>
  <c r="E41" i="1" s="1"/>
  <c r="E70" i="1" s="1"/>
  <c r="E99" i="1" s="1"/>
  <c r="E128" i="1" s="1"/>
  <c r="E157" i="1" s="1"/>
  <c r="E186" i="1" s="1"/>
  <c r="E215" i="1" s="1"/>
  <c r="E244" i="1" s="1"/>
  <c r="E273" i="1" s="1"/>
  <c r="E302" i="1" s="1"/>
  <c r="E331" i="1" s="1"/>
  <c r="E14" i="2"/>
  <c r="E14" i="1" s="1"/>
  <c r="E43" i="1" s="1"/>
  <c r="E72" i="1" s="1"/>
  <c r="E101" i="1" s="1"/>
  <c r="E130" i="1" s="1"/>
  <c r="E159" i="1" s="1"/>
  <c r="E188" i="1" s="1"/>
  <c r="E217" i="1" s="1"/>
  <c r="E246" i="1" s="1"/>
  <c r="E275" i="1" s="1"/>
  <c r="E304" i="1" s="1"/>
  <c r="E333" i="1" s="1"/>
  <c r="D6" i="2"/>
  <c r="D6" i="1" s="1"/>
  <c r="D35" i="1" s="1"/>
  <c r="D64" i="1" s="1"/>
  <c r="D93" i="1" s="1"/>
  <c r="D122" i="1" s="1"/>
  <c r="D151" i="1" s="1"/>
  <c r="D180" i="1" s="1"/>
  <c r="D209" i="1" s="1"/>
  <c r="D238" i="1" s="1"/>
  <c r="D267" i="1" s="1"/>
  <c r="D296" i="1" s="1"/>
  <c r="D325" i="1" s="1"/>
  <c r="D12" i="2"/>
  <c r="D12" i="1" s="1"/>
  <c r="D41" i="1" s="1"/>
  <c r="D70" i="1" s="1"/>
  <c r="D99" i="1" s="1"/>
  <c r="D128" i="1" s="1"/>
  <c r="D157" i="1" s="1"/>
  <c r="D186" i="1" s="1"/>
  <c r="D215" i="1" s="1"/>
  <c r="D244" i="1" s="1"/>
  <c r="D273" i="1" s="1"/>
  <c r="D302" i="1" s="1"/>
  <c r="D331" i="1" s="1"/>
  <c r="D13" i="2"/>
  <c r="D13" i="1" s="1"/>
  <c r="D42" i="1" s="1"/>
  <c r="D71" i="1" s="1"/>
  <c r="D100" i="1" s="1"/>
  <c r="D129" i="1" s="1"/>
  <c r="D158" i="1" s="1"/>
  <c r="D187" i="1" s="1"/>
  <c r="D216" i="1" s="1"/>
  <c r="D245" i="1" s="1"/>
  <c r="D274" i="1" s="1"/>
  <c r="D303" i="1" s="1"/>
  <c r="D332" i="1" s="1"/>
  <c r="D14" i="2"/>
  <c r="D14" i="1" s="1"/>
  <c r="D43" i="1" s="1"/>
  <c r="D72" i="1" s="1"/>
  <c r="D101" i="1" s="1"/>
  <c r="D130" i="1" s="1"/>
  <c r="D159" i="1" s="1"/>
  <c r="D188" i="1" s="1"/>
  <c r="D217" i="1" s="1"/>
  <c r="D246" i="1" s="1"/>
  <c r="D275" i="1" s="1"/>
  <c r="D304" i="1" s="1"/>
  <c r="D333" i="1" s="1"/>
  <c r="C41" i="2" l="1"/>
  <c r="H25" i="2"/>
  <c r="D25" i="2"/>
  <c r="F25" i="2"/>
  <c r="G25" i="2"/>
  <c r="S25" i="2" s="1"/>
  <c r="E25" i="2"/>
  <c r="C14" i="5"/>
  <c r="C22" i="5"/>
  <c r="C70" i="5"/>
  <c r="C38" i="5"/>
  <c r="S17" i="11"/>
  <c r="G46" i="11"/>
  <c r="D7" i="2"/>
  <c r="D7" i="1" s="1"/>
  <c r="D36" i="1" s="1"/>
  <c r="D65" i="1" s="1"/>
  <c r="D94" i="1" s="1"/>
  <c r="D123" i="1" s="1"/>
  <c r="D152" i="1" s="1"/>
  <c r="D181" i="1" s="1"/>
  <c r="D210" i="1" s="1"/>
  <c r="D239" i="1" s="1"/>
  <c r="D268" i="1" s="1"/>
  <c r="D297" i="1" s="1"/>
  <c r="D326" i="1" s="1"/>
  <c r="H7" i="4"/>
  <c r="C17" i="1"/>
  <c r="C46" i="1" s="1"/>
  <c r="C75" i="1" s="1"/>
  <c r="C104" i="1" s="1"/>
  <c r="C133" i="1" s="1"/>
  <c r="C162" i="1" s="1"/>
  <c r="C191" i="1" s="1"/>
  <c r="C220" i="1" s="1"/>
  <c r="C249" i="1" s="1"/>
  <c r="C278" i="1" s="1"/>
  <c r="C307" i="1" s="1"/>
  <c r="C336" i="1" s="1"/>
  <c r="C40" i="2"/>
  <c r="D24" i="2"/>
  <c r="F24" i="2"/>
  <c r="H24" i="2"/>
  <c r="G24" i="2"/>
  <c r="S24" i="2" s="1"/>
  <c r="E24" i="2"/>
  <c r="S16" i="11"/>
  <c r="G45" i="11"/>
  <c r="F23" i="2"/>
  <c r="D23" i="2"/>
  <c r="C39" i="2"/>
  <c r="E23" i="2"/>
  <c r="G23" i="2"/>
  <c r="S23" i="2" s="1"/>
  <c r="H23" i="2"/>
  <c r="H22" i="2"/>
  <c r="E22" i="2"/>
  <c r="F22" i="2"/>
  <c r="C38" i="2"/>
  <c r="D22" i="2"/>
  <c r="S14" i="11"/>
  <c r="G43" i="11"/>
  <c r="C73" i="4"/>
  <c r="C22" i="4"/>
  <c r="C141" i="4"/>
  <c r="S13" i="11"/>
  <c r="G42" i="11"/>
  <c r="S15" i="11"/>
  <c r="G44" i="11"/>
  <c r="E7" i="2"/>
  <c r="E7" i="1" s="1"/>
  <c r="E36" i="1" s="1"/>
  <c r="E65" i="1" s="1"/>
  <c r="E94" i="1" s="1"/>
  <c r="E123" i="1" s="1"/>
  <c r="E152" i="1" s="1"/>
  <c r="E181" i="1" s="1"/>
  <c r="E210" i="1" s="1"/>
  <c r="E239" i="1" s="1"/>
  <c r="E268" i="1" s="1"/>
  <c r="E297" i="1" s="1"/>
  <c r="E326" i="1" s="1"/>
  <c r="C25" i="11"/>
  <c r="C54" i="11" s="1"/>
  <c r="C83" i="11" s="1"/>
  <c r="C112" i="11" s="1"/>
  <c r="C141" i="11" s="1"/>
  <c r="C170" i="11" s="1"/>
  <c r="C199" i="11" s="1"/>
  <c r="C228" i="11" s="1"/>
  <c r="C257" i="11" s="1"/>
  <c r="C286" i="11" s="1"/>
  <c r="C315" i="11" s="1"/>
  <c r="C344" i="11" s="1"/>
  <c r="C83" i="4"/>
  <c r="C32" i="4"/>
  <c r="C151" i="4"/>
  <c r="S12" i="11"/>
  <c r="G41" i="11"/>
  <c r="C82" i="4"/>
  <c r="C31" i="4"/>
  <c r="C150" i="4"/>
  <c r="S27" i="11"/>
  <c r="G56" i="11"/>
  <c r="S11" i="11"/>
  <c r="G40" i="11"/>
  <c r="C81" i="4"/>
  <c r="C30" i="4"/>
  <c r="C149" i="4"/>
  <c r="S26" i="11"/>
  <c r="G55" i="11"/>
  <c r="S10" i="11"/>
  <c r="G39" i="11"/>
  <c r="C80" i="4"/>
  <c r="C29" i="4"/>
  <c r="C148" i="4"/>
  <c r="S25" i="11"/>
  <c r="G54" i="11"/>
  <c r="S9" i="11"/>
  <c r="G38" i="11"/>
  <c r="S8" i="11"/>
  <c r="G37" i="11"/>
  <c r="C6" i="1"/>
  <c r="C35" i="1" s="1"/>
  <c r="C64" i="1" s="1"/>
  <c r="C93" i="1" s="1"/>
  <c r="C122" i="1" s="1"/>
  <c r="C151" i="1" s="1"/>
  <c r="C180" i="1" s="1"/>
  <c r="C209" i="1" s="1"/>
  <c r="C238" i="1" s="1"/>
  <c r="C267" i="1" s="1"/>
  <c r="C296" i="1" s="1"/>
  <c r="C325" i="1" s="1"/>
  <c r="C37" i="2"/>
  <c r="G21" i="2"/>
  <c r="S21" i="2" s="1"/>
  <c r="F21" i="2"/>
  <c r="D21" i="2"/>
  <c r="H21" i="2"/>
  <c r="E21" i="2"/>
  <c r="C78" i="4"/>
  <c r="C27" i="4"/>
  <c r="C146" i="4"/>
  <c r="S23" i="11"/>
  <c r="G52" i="11"/>
  <c r="S7" i="11"/>
  <c r="G36" i="11"/>
  <c r="S24" i="11"/>
  <c r="G53" i="11"/>
  <c r="F6" i="2"/>
  <c r="F6" i="1" s="1"/>
  <c r="F35" i="1" s="1"/>
  <c r="F64" i="1" s="1"/>
  <c r="F93" i="1" s="1"/>
  <c r="F122" i="1" s="1"/>
  <c r="F151" i="1" s="1"/>
  <c r="F180" i="1" s="1"/>
  <c r="F209" i="1" s="1"/>
  <c r="F238" i="1" s="1"/>
  <c r="F267" i="1" s="1"/>
  <c r="F296" i="1" s="1"/>
  <c r="F325" i="1" s="1"/>
  <c r="G30" i="2"/>
  <c r="S30" i="2" s="1"/>
  <c r="F30" i="2"/>
  <c r="C46" i="2"/>
  <c r="D30" i="2"/>
  <c r="E30" i="2"/>
  <c r="H30" i="2"/>
  <c r="C19" i="11"/>
  <c r="C48" i="11" s="1"/>
  <c r="C77" i="11" s="1"/>
  <c r="C106" i="11" s="1"/>
  <c r="C135" i="11" s="1"/>
  <c r="C164" i="11" s="1"/>
  <c r="C193" i="11" s="1"/>
  <c r="C222" i="11" s="1"/>
  <c r="C251" i="11" s="1"/>
  <c r="C280" i="11" s="1"/>
  <c r="C309" i="11" s="1"/>
  <c r="C338" i="11" s="1"/>
  <c r="C77" i="4"/>
  <c r="C26" i="4"/>
  <c r="C145" i="4"/>
  <c r="S22" i="11"/>
  <c r="G51" i="11"/>
  <c r="C79" i="4"/>
  <c r="C28" i="4"/>
  <c r="C147" i="4"/>
  <c r="C13" i="11"/>
  <c r="C42" i="11" s="1"/>
  <c r="C71" i="11" s="1"/>
  <c r="C100" i="11" s="1"/>
  <c r="C129" i="11" s="1"/>
  <c r="C158" i="11" s="1"/>
  <c r="C187" i="11" s="1"/>
  <c r="C216" i="11" s="1"/>
  <c r="C245" i="11" s="1"/>
  <c r="C274" i="11" s="1"/>
  <c r="C303" i="11" s="1"/>
  <c r="C332" i="11" s="1"/>
  <c r="C29" i="2"/>
  <c r="C25" i="4"/>
  <c r="C144" i="4"/>
  <c r="C76" i="4"/>
  <c r="S21" i="11"/>
  <c r="G50" i="11"/>
  <c r="X150" i="11"/>
  <c r="Y150" i="11"/>
  <c r="C12" i="11"/>
  <c r="C41" i="11" s="1"/>
  <c r="C70" i="11" s="1"/>
  <c r="C99" i="11" s="1"/>
  <c r="C128" i="11" s="1"/>
  <c r="C157" i="11" s="1"/>
  <c r="C186" i="11" s="1"/>
  <c r="C215" i="11" s="1"/>
  <c r="C244" i="11" s="1"/>
  <c r="C273" i="11" s="1"/>
  <c r="C302" i="11" s="1"/>
  <c r="C331" i="11" s="1"/>
  <c r="C28" i="2"/>
  <c r="C17" i="11"/>
  <c r="C46" i="11" s="1"/>
  <c r="C75" i="11" s="1"/>
  <c r="C104" i="11" s="1"/>
  <c r="C133" i="11" s="1"/>
  <c r="C162" i="11" s="1"/>
  <c r="C191" i="11" s="1"/>
  <c r="C220" i="11" s="1"/>
  <c r="C249" i="11" s="1"/>
  <c r="C278" i="11" s="1"/>
  <c r="C307" i="11" s="1"/>
  <c r="C336" i="11" s="1"/>
  <c r="C24" i="4"/>
  <c r="C143" i="4"/>
  <c r="C75" i="4"/>
  <c r="S20" i="11"/>
  <c r="G49" i="11"/>
  <c r="G208" i="11"/>
  <c r="S179" i="11"/>
  <c r="G27" i="2"/>
  <c r="S27" i="2" s="1"/>
  <c r="F27" i="2"/>
  <c r="E27" i="2"/>
  <c r="D27" i="2"/>
  <c r="C43" i="2"/>
  <c r="H27" i="2"/>
  <c r="C23" i="4"/>
  <c r="C142" i="4"/>
  <c r="C74" i="4"/>
  <c r="S19" i="11"/>
  <c r="G48" i="11"/>
  <c r="C42" i="2"/>
  <c r="H26" i="2"/>
  <c r="G26" i="2"/>
  <c r="S26" i="2" s="1"/>
  <c r="E26" i="2"/>
  <c r="F26" i="2"/>
  <c r="D26" i="2"/>
  <c r="C13" i="5"/>
  <c r="C21" i="5"/>
  <c r="C69" i="5"/>
  <c r="C37" i="5"/>
  <c r="S18" i="11"/>
  <c r="G47" i="11"/>
  <c r="M119" i="1"/>
  <c r="M206" i="1"/>
  <c r="M293" i="1"/>
  <c r="M148" i="1"/>
  <c r="M235" i="1"/>
  <c r="M177" i="1"/>
  <c r="M264" i="1"/>
  <c r="M293" i="11"/>
  <c r="M235" i="11"/>
  <c r="M206" i="11"/>
  <c r="M83" i="5"/>
  <c r="M19" i="5"/>
  <c r="M105" i="4"/>
  <c r="M3" i="4"/>
  <c r="M67" i="2"/>
  <c r="M67" i="5"/>
  <c r="M156" i="4"/>
  <c r="M20" i="4"/>
  <c r="M115" i="2"/>
  <c r="M322" i="11"/>
  <c r="M119" i="11"/>
  <c r="M43" i="5"/>
  <c r="M27" i="5"/>
  <c r="M3" i="1"/>
  <c r="M71" i="4"/>
  <c r="M163" i="2"/>
  <c r="M35" i="2"/>
  <c r="M61" i="11"/>
  <c r="M75" i="5"/>
  <c r="M90" i="1"/>
  <c r="M32" i="1"/>
  <c r="M148" i="11"/>
  <c r="M59" i="5"/>
  <c r="M173" i="4"/>
  <c r="M37" i="4"/>
  <c r="M131" i="2"/>
  <c r="M3" i="2"/>
  <c r="M322" i="1"/>
  <c r="M264" i="11"/>
  <c r="M90" i="11"/>
  <c r="M91" i="5"/>
  <c r="M35" i="5"/>
  <c r="M3" i="11"/>
  <c r="M88" i="4"/>
  <c r="M179" i="2"/>
  <c r="M51" i="2"/>
  <c r="M32" i="11"/>
  <c r="M61" i="1"/>
  <c r="M177" i="11"/>
  <c r="M51" i="5"/>
  <c r="M190" i="4"/>
  <c r="M54" i="4"/>
  <c r="M147" i="2"/>
  <c r="M19" i="2"/>
  <c r="M11" i="5"/>
  <c r="M3" i="5"/>
  <c r="M99" i="2"/>
  <c r="M83" i="2"/>
  <c r="M139" i="4"/>
  <c r="M122" i="4"/>
  <c r="K177" i="1"/>
  <c r="K264" i="1"/>
  <c r="K119" i="1"/>
  <c r="K206" i="1"/>
  <c r="K293" i="1"/>
  <c r="K235" i="1"/>
  <c r="K322" i="1"/>
  <c r="K32" i="11"/>
  <c r="K139" i="4"/>
  <c r="K11" i="5"/>
  <c r="K99" i="2"/>
  <c r="K61" i="1"/>
  <c r="K177" i="11"/>
  <c r="K51" i="5"/>
  <c r="K190" i="4"/>
  <c r="K54" i="4"/>
  <c r="K147" i="2"/>
  <c r="K19" i="2"/>
  <c r="K148" i="1"/>
  <c r="K293" i="11"/>
  <c r="K235" i="11"/>
  <c r="K206" i="11"/>
  <c r="K83" i="5"/>
  <c r="K19" i="5"/>
  <c r="K105" i="4"/>
  <c r="K3" i="4"/>
  <c r="K67" i="2"/>
  <c r="K67" i="5"/>
  <c r="K322" i="11"/>
  <c r="K119" i="11"/>
  <c r="K43" i="5"/>
  <c r="K27" i="5"/>
  <c r="K3" i="1"/>
  <c r="K71" i="4"/>
  <c r="K163" i="2"/>
  <c r="K35" i="2"/>
  <c r="K90" i="1"/>
  <c r="K61" i="11"/>
  <c r="K75" i="5"/>
  <c r="K122" i="4"/>
  <c r="K3" i="5"/>
  <c r="K83" i="2"/>
  <c r="K32" i="1"/>
  <c r="K148" i="11"/>
  <c r="K264" i="11"/>
  <c r="K90" i="11"/>
  <c r="K91" i="5"/>
  <c r="K35" i="5"/>
  <c r="K3" i="11"/>
  <c r="K88" i="4"/>
  <c r="K179" i="2"/>
  <c r="K51" i="2"/>
  <c r="K131" i="2"/>
  <c r="K115" i="2"/>
  <c r="K59" i="5"/>
  <c r="K3" i="2"/>
  <c r="K173" i="4"/>
  <c r="K156" i="4"/>
  <c r="K37" i="4"/>
  <c r="K20" i="4"/>
  <c r="L264" i="1"/>
  <c r="L119" i="1"/>
  <c r="L206" i="1"/>
  <c r="L293" i="1"/>
  <c r="L322" i="1"/>
  <c r="L90" i="1"/>
  <c r="L177" i="1"/>
  <c r="L61" i="1"/>
  <c r="L177" i="11"/>
  <c r="L51" i="5"/>
  <c r="L190" i="4"/>
  <c r="L54" i="4"/>
  <c r="L147" i="2"/>
  <c r="L19" i="2"/>
  <c r="L148" i="1"/>
  <c r="L293" i="11"/>
  <c r="L235" i="11"/>
  <c r="L206" i="11"/>
  <c r="L83" i="5"/>
  <c r="L19" i="5"/>
  <c r="L105" i="4"/>
  <c r="L3" i="4"/>
  <c r="L67" i="2"/>
  <c r="L67" i="5"/>
  <c r="L156" i="4"/>
  <c r="L20" i="4"/>
  <c r="L115" i="2"/>
  <c r="L322" i="11"/>
  <c r="L119" i="11"/>
  <c r="L43" i="5"/>
  <c r="L61" i="11"/>
  <c r="L75" i="5"/>
  <c r="L122" i="4"/>
  <c r="L3" i="5"/>
  <c r="L83" i="2"/>
  <c r="L32" i="1"/>
  <c r="L148" i="11"/>
  <c r="L59" i="5"/>
  <c r="L173" i="4"/>
  <c r="L37" i="4"/>
  <c r="L131" i="2"/>
  <c r="L3" i="2"/>
  <c r="L264" i="11"/>
  <c r="L90" i="11"/>
  <c r="L91" i="5"/>
  <c r="L235" i="1"/>
  <c r="L32" i="11"/>
  <c r="L139" i="4"/>
  <c r="L11" i="5"/>
  <c r="L99" i="2"/>
  <c r="L3" i="11"/>
  <c r="L163" i="2"/>
  <c r="L3" i="1"/>
  <c r="L27" i="5"/>
  <c r="L88" i="4"/>
  <c r="L71" i="4"/>
  <c r="L35" i="5"/>
  <c r="L179" i="2"/>
  <c r="L51" i="2"/>
  <c r="L35" i="2"/>
  <c r="N206" i="1"/>
  <c r="N293" i="1"/>
  <c r="N148" i="1"/>
  <c r="N235" i="1"/>
  <c r="N322" i="1"/>
  <c r="N264" i="1"/>
  <c r="N119" i="1"/>
  <c r="N177" i="1"/>
  <c r="N67" i="5"/>
  <c r="N156" i="4"/>
  <c r="N20" i="4"/>
  <c r="N115" i="2"/>
  <c r="N322" i="11"/>
  <c r="N119" i="11"/>
  <c r="N43" i="5"/>
  <c r="N27" i="5"/>
  <c r="N3" i="1"/>
  <c r="N71" i="4"/>
  <c r="N163" i="2"/>
  <c r="N35" i="2"/>
  <c r="N61" i="11"/>
  <c r="N75" i="5"/>
  <c r="N122" i="4"/>
  <c r="N3" i="5"/>
  <c r="N83" i="2"/>
  <c r="N90" i="1"/>
  <c r="N32" i="1"/>
  <c r="N148" i="11"/>
  <c r="N59" i="5"/>
  <c r="N264" i="11"/>
  <c r="N90" i="11"/>
  <c r="N91" i="5"/>
  <c r="N35" i="5"/>
  <c r="N3" i="11"/>
  <c r="N88" i="4"/>
  <c r="N179" i="2"/>
  <c r="N51" i="2"/>
  <c r="N32" i="11"/>
  <c r="N139" i="4"/>
  <c r="N11" i="5"/>
  <c r="N99" i="2"/>
  <c r="N61" i="1"/>
  <c r="N177" i="11"/>
  <c r="N293" i="11"/>
  <c r="N235" i="11"/>
  <c r="N206" i="11"/>
  <c r="N83" i="5"/>
  <c r="N19" i="5"/>
  <c r="N105" i="4"/>
  <c r="N3" i="4"/>
  <c r="N67" i="2"/>
  <c r="N19" i="2"/>
  <c r="N51" i="5"/>
  <c r="N3" i="2"/>
  <c r="N190" i="4"/>
  <c r="N37" i="4"/>
  <c r="N173" i="4"/>
  <c r="N54" i="4"/>
  <c r="N147" i="2"/>
  <c r="N131" i="2"/>
  <c r="AB6" i="7"/>
  <c r="AD6" i="7"/>
  <c r="AE6" i="7" s="1"/>
  <c r="V5" i="7"/>
  <c r="V2" i="7" s="1"/>
  <c r="U2" i="7"/>
  <c r="X5" i="7"/>
  <c r="C11" i="1"/>
  <c r="C40" i="1" s="1"/>
  <c r="C69" i="1" s="1"/>
  <c r="C98" i="1" s="1"/>
  <c r="C127" i="1" s="1"/>
  <c r="C156" i="1" s="1"/>
  <c r="C185" i="1" s="1"/>
  <c r="C214" i="1" s="1"/>
  <c r="C243" i="1" s="1"/>
  <c r="C272" i="1" s="1"/>
  <c r="C301" i="1" s="1"/>
  <c r="C330" i="1" s="1"/>
  <c r="C11" i="11"/>
  <c r="C40" i="11" s="1"/>
  <c r="C69" i="11" s="1"/>
  <c r="C98" i="11" s="1"/>
  <c r="C127" i="11" s="1"/>
  <c r="C156" i="11" s="1"/>
  <c r="C185" i="11" s="1"/>
  <c r="C214" i="11" s="1"/>
  <c r="C243" i="11" s="1"/>
  <c r="C272" i="11" s="1"/>
  <c r="C301" i="11" s="1"/>
  <c r="C330" i="11" s="1"/>
  <c r="F14" i="4"/>
  <c r="F24" i="1" s="1"/>
  <c r="F53" i="1" s="1"/>
  <c r="F82" i="1" s="1"/>
  <c r="F111" i="1" s="1"/>
  <c r="F140" i="1" s="1"/>
  <c r="F169" i="1" s="1"/>
  <c r="F198" i="1" s="1"/>
  <c r="F227" i="1" s="1"/>
  <c r="F256" i="1" s="1"/>
  <c r="F285" i="1" s="1"/>
  <c r="F314" i="1" s="1"/>
  <c r="F343" i="1" s="1"/>
  <c r="C24" i="11"/>
  <c r="C53" i="11" s="1"/>
  <c r="C82" i="11" s="1"/>
  <c r="C111" i="11" s="1"/>
  <c r="C140" i="11" s="1"/>
  <c r="C169" i="11" s="1"/>
  <c r="C198" i="11" s="1"/>
  <c r="C227" i="11" s="1"/>
  <c r="C256" i="11" s="1"/>
  <c r="C285" i="11" s="1"/>
  <c r="C314" i="11" s="1"/>
  <c r="C343" i="11" s="1"/>
  <c r="E6" i="4"/>
  <c r="E16" i="1" s="1"/>
  <c r="E45" i="1" s="1"/>
  <c r="E74" i="1" s="1"/>
  <c r="E103" i="1" s="1"/>
  <c r="E132" i="1" s="1"/>
  <c r="E161" i="1" s="1"/>
  <c r="E190" i="1" s="1"/>
  <c r="E219" i="1" s="1"/>
  <c r="E248" i="1" s="1"/>
  <c r="E277" i="1" s="1"/>
  <c r="E306" i="1" s="1"/>
  <c r="E335" i="1" s="1"/>
  <c r="C16" i="11"/>
  <c r="C45" i="11" s="1"/>
  <c r="C74" i="11" s="1"/>
  <c r="C103" i="11" s="1"/>
  <c r="C132" i="11" s="1"/>
  <c r="C161" i="11" s="1"/>
  <c r="C190" i="11" s="1"/>
  <c r="C219" i="11" s="1"/>
  <c r="C248" i="11" s="1"/>
  <c r="C277" i="11" s="1"/>
  <c r="C306" i="11" s="1"/>
  <c r="C335" i="11" s="1"/>
  <c r="C10" i="1"/>
  <c r="C39" i="1" s="1"/>
  <c r="C68" i="1" s="1"/>
  <c r="C97" i="1" s="1"/>
  <c r="C126" i="1" s="1"/>
  <c r="C155" i="1" s="1"/>
  <c r="C184" i="1" s="1"/>
  <c r="C213" i="1" s="1"/>
  <c r="C242" i="1" s="1"/>
  <c r="C271" i="1" s="1"/>
  <c r="C300" i="1" s="1"/>
  <c r="C329" i="1" s="1"/>
  <c r="C10" i="11"/>
  <c r="C39" i="11" s="1"/>
  <c r="C68" i="11" s="1"/>
  <c r="C97" i="11" s="1"/>
  <c r="C126" i="11" s="1"/>
  <c r="C155" i="11" s="1"/>
  <c r="C184" i="11" s="1"/>
  <c r="C213" i="11" s="1"/>
  <c r="C242" i="11" s="1"/>
  <c r="C271" i="11" s="1"/>
  <c r="C300" i="11" s="1"/>
  <c r="C329" i="11" s="1"/>
  <c r="H13" i="4"/>
  <c r="H23" i="1" s="1"/>
  <c r="H52" i="1" s="1"/>
  <c r="H81" i="1" s="1"/>
  <c r="H110" i="1" s="1"/>
  <c r="H139" i="1" s="1"/>
  <c r="H168" i="1" s="1"/>
  <c r="H197" i="1" s="1"/>
  <c r="H226" i="1" s="1"/>
  <c r="H255" i="1" s="1"/>
  <c r="H284" i="1" s="1"/>
  <c r="H313" i="1" s="1"/>
  <c r="H342" i="1" s="1"/>
  <c r="C23" i="11"/>
  <c r="C52" i="11" s="1"/>
  <c r="C81" i="11" s="1"/>
  <c r="C110" i="11" s="1"/>
  <c r="C139" i="11" s="1"/>
  <c r="C168" i="11" s="1"/>
  <c r="C197" i="11" s="1"/>
  <c r="C226" i="11" s="1"/>
  <c r="C255" i="11" s="1"/>
  <c r="C284" i="11" s="1"/>
  <c r="C313" i="11" s="1"/>
  <c r="C342" i="11" s="1"/>
  <c r="H5" i="5"/>
  <c r="H26" i="1" s="1"/>
  <c r="H55" i="1" s="1"/>
  <c r="H84" i="1" s="1"/>
  <c r="H113" i="1" s="1"/>
  <c r="H142" i="1" s="1"/>
  <c r="H171" i="1" s="1"/>
  <c r="H200" i="1" s="1"/>
  <c r="H229" i="1" s="1"/>
  <c r="H258" i="1" s="1"/>
  <c r="H287" i="1" s="1"/>
  <c r="H316" i="1" s="1"/>
  <c r="H345" i="1" s="1"/>
  <c r="C26" i="11"/>
  <c r="C55" i="11" s="1"/>
  <c r="C84" i="11" s="1"/>
  <c r="C113" i="11" s="1"/>
  <c r="C142" i="11" s="1"/>
  <c r="C171" i="11" s="1"/>
  <c r="C200" i="11" s="1"/>
  <c r="C229" i="11" s="1"/>
  <c r="C258" i="11" s="1"/>
  <c r="C287" i="11" s="1"/>
  <c r="C316" i="11" s="1"/>
  <c r="C345" i="11" s="1"/>
  <c r="C22" i="1"/>
  <c r="C51" i="1" s="1"/>
  <c r="C80" i="1" s="1"/>
  <c r="C109" i="1" s="1"/>
  <c r="C138" i="1" s="1"/>
  <c r="C167" i="1" s="1"/>
  <c r="C196" i="1" s="1"/>
  <c r="C225" i="1" s="1"/>
  <c r="C254" i="1" s="1"/>
  <c r="C283" i="1" s="1"/>
  <c r="C312" i="1" s="1"/>
  <c r="C341" i="1" s="1"/>
  <c r="C22" i="11"/>
  <c r="C51" i="11" s="1"/>
  <c r="C80" i="11" s="1"/>
  <c r="C109" i="11" s="1"/>
  <c r="C138" i="11" s="1"/>
  <c r="C167" i="11" s="1"/>
  <c r="C196" i="11" s="1"/>
  <c r="C225" i="11" s="1"/>
  <c r="C254" i="11" s="1"/>
  <c r="C283" i="11" s="1"/>
  <c r="C312" i="11" s="1"/>
  <c r="C341" i="11" s="1"/>
  <c r="H8" i="2"/>
  <c r="H8" i="1" s="1"/>
  <c r="H37" i="1" s="1"/>
  <c r="H66" i="1" s="1"/>
  <c r="H95" i="1" s="1"/>
  <c r="H124" i="1" s="1"/>
  <c r="H153" i="1" s="1"/>
  <c r="H182" i="1" s="1"/>
  <c r="H211" i="1" s="1"/>
  <c r="H240" i="1" s="1"/>
  <c r="H269" i="1" s="1"/>
  <c r="H298" i="1" s="1"/>
  <c r="H327" i="1" s="1"/>
  <c r="C8" i="11"/>
  <c r="C37" i="11" s="1"/>
  <c r="C66" i="11" s="1"/>
  <c r="C95" i="11" s="1"/>
  <c r="C124" i="11" s="1"/>
  <c r="C153" i="11" s="1"/>
  <c r="C182" i="11" s="1"/>
  <c r="C211" i="11" s="1"/>
  <c r="C240" i="11" s="1"/>
  <c r="C269" i="11" s="1"/>
  <c r="C298" i="11" s="1"/>
  <c r="C327" i="11" s="1"/>
  <c r="F11" i="4"/>
  <c r="F21" i="1" s="1"/>
  <c r="F50" i="1" s="1"/>
  <c r="F79" i="1" s="1"/>
  <c r="F108" i="1" s="1"/>
  <c r="F137" i="1" s="1"/>
  <c r="F166" i="1" s="1"/>
  <c r="F195" i="1" s="1"/>
  <c r="F224" i="1" s="1"/>
  <c r="F253" i="1" s="1"/>
  <c r="F282" i="1" s="1"/>
  <c r="F311" i="1" s="1"/>
  <c r="F340" i="1" s="1"/>
  <c r="C21" i="11"/>
  <c r="C50" i="11" s="1"/>
  <c r="C79" i="11" s="1"/>
  <c r="C108" i="11" s="1"/>
  <c r="C137" i="11" s="1"/>
  <c r="C166" i="11" s="1"/>
  <c r="C195" i="11" s="1"/>
  <c r="C224" i="11" s="1"/>
  <c r="C253" i="11" s="1"/>
  <c r="C282" i="11" s="1"/>
  <c r="C311" i="11" s="1"/>
  <c r="C340" i="11" s="1"/>
  <c r="H9" i="2"/>
  <c r="H9" i="1" s="1"/>
  <c r="H38" i="1" s="1"/>
  <c r="H67" i="1" s="1"/>
  <c r="H96" i="1" s="1"/>
  <c r="H125" i="1" s="1"/>
  <c r="H154" i="1" s="1"/>
  <c r="H183" i="1" s="1"/>
  <c r="H212" i="1" s="1"/>
  <c r="H241" i="1" s="1"/>
  <c r="H270" i="1" s="1"/>
  <c r="H299" i="1" s="1"/>
  <c r="H328" i="1" s="1"/>
  <c r="C9" i="11"/>
  <c r="C38" i="11" s="1"/>
  <c r="C67" i="11" s="1"/>
  <c r="C96" i="11" s="1"/>
  <c r="C125" i="11" s="1"/>
  <c r="C154" i="11" s="1"/>
  <c r="C183" i="11" s="1"/>
  <c r="C212" i="11" s="1"/>
  <c r="C241" i="11" s="1"/>
  <c r="C270" i="11" s="1"/>
  <c r="C299" i="11" s="1"/>
  <c r="C328" i="11" s="1"/>
  <c r="H5" i="2"/>
  <c r="H5" i="1" s="1"/>
  <c r="H34" i="1" s="1"/>
  <c r="H63" i="1" s="1"/>
  <c r="H92" i="1" s="1"/>
  <c r="H121" i="1" s="1"/>
  <c r="H150" i="1" s="1"/>
  <c r="H179" i="1" s="1"/>
  <c r="H208" i="1" s="1"/>
  <c r="H237" i="1" s="1"/>
  <c r="H266" i="1" s="1"/>
  <c r="H295" i="1" s="1"/>
  <c r="H324" i="1" s="1"/>
  <c r="C5" i="11"/>
  <c r="C34" i="11" s="1"/>
  <c r="C63" i="11" s="1"/>
  <c r="C92" i="11" s="1"/>
  <c r="C121" i="11" s="1"/>
  <c r="C150" i="11" s="1"/>
  <c r="C179" i="11" s="1"/>
  <c r="C208" i="11" s="1"/>
  <c r="C237" i="11" s="1"/>
  <c r="C266" i="11" s="1"/>
  <c r="C295" i="11" s="1"/>
  <c r="C324" i="11" s="1"/>
  <c r="C7" i="1"/>
  <c r="C36" i="1" s="1"/>
  <c r="C65" i="1" s="1"/>
  <c r="C94" i="1" s="1"/>
  <c r="C123" i="1" s="1"/>
  <c r="C152" i="1" s="1"/>
  <c r="C181" i="1" s="1"/>
  <c r="C210" i="1" s="1"/>
  <c r="C239" i="1" s="1"/>
  <c r="C268" i="1" s="1"/>
  <c r="C297" i="1" s="1"/>
  <c r="C326" i="1" s="1"/>
  <c r="C7" i="11"/>
  <c r="C36" i="11" s="1"/>
  <c r="C65" i="11" s="1"/>
  <c r="C94" i="11" s="1"/>
  <c r="C123" i="11" s="1"/>
  <c r="C152" i="11" s="1"/>
  <c r="C181" i="11" s="1"/>
  <c r="C210" i="11" s="1"/>
  <c r="C239" i="11" s="1"/>
  <c r="C268" i="11" s="1"/>
  <c r="C297" i="11" s="1"/>
  <c r="C326" i="11" s="1"/>
  <c r="C20" i="1"/>
  <c r="C49" i="1" s="1"/>
  <c r="C78" i="1" s="1"/>
  <c r="C107" i="1" s="1"/>
  <c r="C136" i="1" s="1"/>
  <c r="C165" i="1" s="1"/>
  <c r="C194" i="1" s="1"/>
  <c r="C223" i="1" s="1"/>
  <c r="C252" i="1" s="1"/>
  <c r="C281" i="1" s="1"/>
  <c r="C310" i="1" s="1"/>
  <c r="C339" i="1" s="1"/>
  <c r="C20" i="11"/>
  <c r="C49" i="11" s="1"/>
  <c r="C78" i="11" s="1"/>
  <c r="C107" i="11" s="1"/>
  <c r="C136" i="11" s="1"/>
  <c r="C165" i="11" s="1"/>
  <c r="C194" i="11" s="1"/>
  <c r="C223" i="11" s="1"/>
  <c r="C252" i="11" s="1"/>
  <c r="C281" i="11" s="1"/>
  <c r="C310" i="11" s="1"/>
  <c r="C339" i="11" s="1"/>
  <c r="H14" i="2"/>
  <c r="H14" i="1" s="1"/>
  <c r="H43" i="1" s="1"/>
  <c r="H72" i="1" s="1"/>
  <c r="H101" i="1" s="1"/>
  <c r="H130" i="1" s="1"/>
  <c r="H159" i="1" s="1"/>
  <c r="H188" i="1" s="1"/>
  <c r="H217" i="1" s="1"/>
  <c r="H246" i="1" s="1"/>
  <c r="H275" i="1" s="1"/>
  <c r="H304" i="1" s="1"/>
  <c r="H333" i="1" s="1"/>
  <c r="C14" i="11"/>
  <c r="C43" i="11" s="1"/>
  <c r="C72" i="11" s="1"/>
  <c r="C101" i="11" s="1"/>
  <c r="C130" i="11" s="1"/>
  <c r="C159" i="11" s="1"/>
  <c r="C188" i="11" s="1"/>
  <c r="C217" i="11" s="1"/>
  <c r="C246" i="11" s="1"/>
  <c r="C275" i="11" s="1"/>
  <c r="C304" i="11" s="1"/>
  <c r="C333" i="11" s="1"/>
  <c r="H6" i="2"/>
  <c r="H6" i="1" s="1"/>
  <c r="H35" i="1" s="1"/>
  <c r="H64" i="1" s="1"/>
  <c r="H93" i="1" s="1"/>
  <c r="H122" i="1" s="1"/>
  <c r="H151" i="1" s="1"/>
  <c r="H180" i="1" s="1"/>
  <c r="H209" i="1" s="1"/>
  <c r="H238" i="1" s="1"/>
  <c r="H267" i="1" s="1"/>
  <c r="H296" i="1" s="1"/>
  <c r="H325" i="1" s="1"/>
  <c r="C6" i="11"/>
  <c r="C35" i="11" s="1"/>
  <c r="C64" i="11" s="1"/>
  <c r="C93" i="11" s="1"/>
  <c r="C122" i="11" s="1"/>
  <c r="C151" i="11" s="1"/>
  <c r="C180" i="11" s="1"/>
  <c r="C209" i="11" s="1"/>
  <c r="C238" i="11" s="1"/>
  <c r="C267" i="11" s="1"/>
  <c r="C296" i="11" s="1"/>
  <c r="C325" i="11" s="1"/>
  <c r="C27" i="1"/>
  <c r="C56" i="1" s="1"/>
  <c r="C85" i="1" s="1"/>
  <c r="C114" i="1" s="1"/>
  <c r="C143" i="1" s="1"/>
  <c r="C172" i="1" s="1"/>
  <c r="C201" i="1" s="1"/>
  <c r="C230" i="1" s="1"/>
  <c r="C259" i="1" s="1"/>
  <c r="C288" i="1" s="1"/>
  <c r="C317" i="1" s="1"/>
  <c r="C346" i="1" s="1"/>
  <c r="C27" i="11"/>
  <c r="C56" i="11" s="1"/>
  <c r="C85" i="11" s="1"/>
  <c r="C114" i="11" s="1"/>
  <c r="C143" i="11" s="1"/>
  <c r="C172" i="11" s="1"/>
  <c r="C201" i="11" s="1"/>
  <c r="C230" i="11" s="1"/>
  <c r="C259" i="11" s="1"/>
  <c r="C288" i="11" s="1"/>
  <c r="C317" i="11" s="1"/>
  <c r="C346" i="11" s="1"/>
  <c r="C15" i="1"/>
  <c r="C44" i="1" s="1"/>
  <c r="C73" i="1" s="1"/>
  <c r="C102" i="1" s="1"/>
  <c r="C131" i="1" s="1"/>
  <c r="C160" i="1" s="1"/>
  <c r="C189" i="1" s="1"/>
  <c r="C218" i="1" s="1"/>
  <c r="C247" i="1" s="1"/>
  <c r="C276" i="1" s="1"/>
  <c r="C305" i="1" s="1"/>
  <c r="C334" i="1" s="1"/>
  <c r="C15" i="11"/>
  <c r="C44" i="11" s="1"/>
  <c r="C73" i="11" s="1"/>
  <c r="C102" i="11" s="1"/>
  <c r="C131" i="11" s="1"/>
  <c r="C160" i="11" s="1"/>
  <c r="C189" i="11" s="1"/>
  <c r="C218" i="11" s="1"/>
  <c r="C247" i="11" s="1"/>
  <c r="C276" i="11" s="1"/>
  <c r="C305" i="11" s="1"/>
  <c r="C334" i="11" s="1"/>
  <c r="C18" i="1"/>
  <c r="C47" i="1" s="1"/>
  <c r="C76" i="1" s="1"/>
  <c r="C105" i="1" s="1"/>
  <c r="C134" i="1" s="1"/>
  <c r="C163" i="1" s="1"/>
  <c r="C192" i="1" s="1"/>
  <c r="C221" i="1" s="1"/>
  <c r="C250" i="1" s="1"/>
  <c r="C279" i="1" s="1"/>
  <c r="C308" i="1" s="1"/>
  <c r="C337" i="1" s="1"/>
  <c r="C18" i="11"/>
  <c r="C47" i="11" s="1"/>
  <c r="C76" i="11" s="1"/>
  <c r="C105" i="11" s="1"/>
  <c r="C134" i="11" s="1"/>
  <c r="C163" i="11" s="1"/>
  <c r="C192" i="11" s="1"/>
  <c r="C221" i="11" s="1"/>
  <c r="C250" i="11" s="1"/>
  <c r="C279" i="11" s="1"/>
  <c r="C308" i="11" s="1"/>
  <c r="C337" i="11" s="1"/>
  <c r="H5" i="3"/>
  <c r="H12" i="1"/>
  <c r="H41" i="1" s="1"/>
  <c r="H70" i="1" s="1"/>
  <c r="H99" i="1" s="1"/>
  <c r="H128" i="1" s="1"/>
  <c r="H157" i="1" s="1"/>
  <c r="H186" i="1" s="1"/>
  <c r="H215" i="1" s="1"/>
  <c r="H244" i="1" s="1"/>
  <c r="H273" i="1" s="1"/>
  <c r="H302" i="1" s="1"/>
  <c r="H331" i="1" s="1"/>
  <c r="H21" i="1"/>
  <c r="H50" i="1" s="1"/>
  <c r="H79" i="1" s="1"/>
  <c r="H108" i="1" s="1"/>
  <c r="H137" i="1" s="1"/>
  <c r="H166" i="1" s="1"/>
  <c r="H195" i="1" s="1"/>
  <c r="H224" i="1" s="1"/>
  <c r="H253" i="1" s="1"/>
  <c r="H282" i="1" s="1"/>
  <c r="H311" i="1" s="1"/>
  <c r="H340" i="1" s="1"/>
  <c r="H19" i="1"/>
  <c r="H48" i="1" s="1"/>
  <c r="H77" i="1" s="1"/>
  <c r="H106" i="1" s="1"/>
  <c r="H135" i="1" s="1"/>
  <c r="H164" i="1" s="1"/>
  <c r="H193" i="1" s="1"/>
  <c r="H222" i="1" s="1"/>
  <c r="H251" i="1" s="1"/>
  <c r="H280" i="1" s="1"/>
  <c r="H309" i="1" s="1"/>
  <c r="H338" i="1" s="1"/>
  <c r="H17" i="1"/>
  <c r="H46" i="1" s="1"/>
  <c r="H75" i="1" s="1"/>
  <c r="H104" i="1" s="1"/>
  <c r="H133" i="1" s="1"/>
  <c r="H162" i="1" s="1"/>
  <c r="H191" i="1" s="1"/>
  <c r="H220" i="1" s="1"/>
  <c r="H249" i="1" s="1"/>
  <c r="H278" i="1" s="1"/>
  <c r="H307" i="1" s="1"/>
  <c r="H336" i="1" s="1"/>
  <c r="H15" i="1"/>
  <c r="H44" i="1" s="1"/>
  <c r="H73" i="1" s="1"/>
  <c r="H102" i="1" s="1"/>
  <c r="H131" i="1" s="1"/>
  <c r="H160" i="1" s="1"/>
  <c r="H189" i="1" s="1"/>
  <c r="H218" i="1" s="1"/>
  <c r="H247" i="1" s="1"/>
  <c r="H276" i="1" s="1"/>
  <c r="H305" i="1" s="1"/>
  <c r="H334" i="1" s="1"/>
  <c r="S5" i="2"/>
  <c r="S5" i="1" s="1"/>
  <c r="H25" i="1"/>
  <c r="H54" i="1" s="1"/>
  <c r="H83" i="1" s="1"/>
  <c r="H112" i="1" s="1"/>
  <c r="H141" i="1" s="1"/>
  <c r="H170" i="1" s="1"/>
  <c r="H199" i="1" s="1"/>
  <c r="H228" i="1" s="1"/>
  <c r="H257" i="1" s="1"/>
  <c r="H286" i="1" s="1"/>
  <c r="H315" i="1" s="1"/>
  <c r="H344" i="1" s="1"/>
  <c r="H13" i="1"/>
  <c r="H42" i="1" s="1"/>
  <c r="H71" i="1" s="1"/>
  <c r="H100" i="1" s="1"/>
  <c r="H129" i="1" s="1"/>
  <c r="H158" i="1" s="1"/>
  <c r="H187" i="1" s="1"/>
  <c r="H216" i="1" s="1"/>
  <c r="H245" i="1" s="1"/>
  <c r="H274" i="1" s="1"/>
  <c r="H303" i="1" s="1"/>
  <c r="H332" i="1" s="1"/>
  <c r="H18" i="1"/>
  <c r="H47" i="1" s="1"/>
  <c r="H76" i="1" s="1"/>
  <c r="H105" i="1" s="1"/>
  <c r="H134" i="1" s="1"/>
  <c r="H163" i="1" s="1"/>
  <c r="H192" i="1" s="1"/>
  <c r="H221" i="1" s="1"/>
  <c r="H250" i="1" s="1"/>
  <c r="H279" i="1" s="1"/>
  <c r="H308" i="1" s="1"/>
  <c r="H337" i="1" s="1"/>
  <c r="D5" i="5"/>
  <c r="D26" i="1" s="1"/>
  <c r="D55" i="1" s="1"/>
  <c r="D84" i="1" s="1"/>
  <c r="D113" i="1" s="1"/>
  <c r="D142" i="1" s="1"/>
  <c r="D171" i="1" s="1"/>
  <c r="D200" i="1" s="1"/>
  <c r="D229" i="1" s="1"/>
  <c r="D258" i="1" s="1"/>
  <c r="D287" i="1" s="1"/>
  <c r="D316" i="1" s="1"/>
  <c r="D345" i="1" s="1"/>
  <c r="E14" i="4"/>
  <c r="E24" i="1" s="1"/>
  <c r="E53" i="1" s="1"/>
  <c r="E82" i="1" s="1"/>
  <c r="E111" i="1" s="1"/>
  <c r="E140" i="1" s="1"/>
  <c r="E169" i="1" s="1"/>
  <c r="E198" i="1" s="1"/>
  <c r="E227" i="1" s="1"/>
  <c r="E256" i="1" s="1"/>
  <c r="E285" i="1" s="1"/>
  <c r="E314" i="1" s="1"/>
  <c r="E343" i="1" s="1"/>
  <c r="D6" i="4"/>
  <c r="D16" i="1" s="1"/>
  <c r="D45" i="1" s="1"/>
  <c r="D74" i="1" s="1"/>
  <c r="D103" i="1" s="1"/>
  <c r="D132" i="1" s="1"/>
  <c r="D161" i="1" s="1"/>
  <c r="D190" i="1" s="1"/>
  <c r="D219" i="1" s="1"/>
  <c r="D248" i="1" s="1"/>
  <c r="D277" i="1" s="1"/>
  <c r="D306" i="1" s="1"/>
  <c r="D335" i="1" s="1"/>
  <c r="F12" i="4"/>
  <c r="F22" i="1" s="1"/>
  <c r="F51" i="1" s="1"/>
  <c r="F80" i="1" s="1"/>
  <c r="F109" i="1" s="1"/>
  <c r="F138" i="1" s="1"/>
  <c r="F167" i="1" s="1"/>
  <c r="F196" i="1" s="1"/>
  <c r="F225" i="1" s="1"/>
  <c r="F254" i="1" s="1"/>
  <c r="F283" i="1" s="1"/>
  <c r="F312" i="1" s="1"/>
  <c r="F341" i="1" s="1"/>
  <c r="G8" i="4"/>
  <c r="F9" i="2"/>
  <c r="F9" i="1" s="1"/>
  <c r="F38" i="1" s="1"/>
  <c r="F67" i="1" s="1"/>
  <c r="F96" i="1" s="1"/>
  <c r="F125" i="1" s="1"/>
  <c r="F154" i="1" s="1"/>
  <c r="F183" i="1" s="1"/>
  <c r="F212" i="1" s="1"/>
  <c r="F241" i="1" s="1"/>
  <c r="F270" i="1" s="1"/>
  <c r="F299" i="1" s="1"/>
  <c r="F328" i="1" s="1"/>
  <c r="D6" i="5"/>
  <c r="D27" i="1" s="1"/>
  <c r="D56" i="1" s="1"/>
  <c r="D85" i="1" s="1"/>
  <c r="D114" i="1" s="1"/>
  <c r="D143" i="1" s="1"/>
  <c r="D172" i="1" s="1"/>
  <c r="D201" i="1" s="1"/>
  <c r="D230" i="1" s="1"/>
  <c r="D259" i="1" s="1"/>
  <c r="D288" i="1" s="1"/>
  <c r="D317" i="1" s="1"/>
  <c r="D346" i="1" s="1"/>
  <c r="C9" i="1"/>
  <c r="C38" i="1" s="1"/>
  <c r="C67" i="1" s="1"/>
  <c r="C96" i="1" s="1"/>
  <c r="C125" i="1" s="1"/>
  <c r="C154" i="1" s="1"/>
  <c r="C183" i="1" s="1"/>
  <c r="C212" i="1" s="1"/>
  <c r="C241" i="1" s="1"/>
  <c r="C270" i="1" s="1"/>
  <c r="C299" i="1" s="1"/>
  <c r="C328" i="1" s="1"/>
  <c r="D10" i="2"/>
  <c r="D10" i="1" s="1"/>
  <c r="D39" i="1" s="1"/>
  <c r="D68" i="1" s="1"/>
  <c r="D97" i="1" s="1"/>
  <c r="D126" i="1" s="1"/>
  <c r="D155" i="1" s="1"/>
  <c r="D184" i="1" s="1"/>
  <c r="D213" i="1" s="1"/>
  <c r="D242" i="1" s="1"/>
  <c r="D271" i="1" s="1"/>
  <c r="D300" i="1" s="1"/>
  <c r="D329" i="1" s="1"/>
  <c r="F11" i="2"/>
  <c r="F11" i="1" s="1"/>
  <c r="F40" i="1" s="1"/>
  <c r="F69" i="1" s="1"/>
  <c r="F98" i="1" s="1"/>
  <c r="F127" i="1" s="1"/>
  <c r="F156" i="1" s="1"/>
  <c r="F185" i="1" s="1"/>
  <c r="F214" i="1" s="1"/>
  <c r="F243" i="1" s="1"/>
  <c r="F272" i="1" s="1"/>
  <c r="F301" i="1" s="1"/>
  <c r="F330" i="1" s="1"/>
  <c r="E5" i="5"/>
  <c r="E26" i="1" s="1"/>
  <c r="E55" i="1" s="1"/>
  <c r="E84" i="1" s="1"/>
  <c r="E113" i="1" s="1"/>
  <c r="E142" i="1" s="1"/>
  <c r="E171" i="1" s="1"/>
  <c r="E200" i="1" s="1"/>
  <c r="E229" i="1" s="1"/>
  <c r="E258" i="1" s="1"/>
  <c r="E287" i="1" s="1"/>
  <c r="E316" i="1" s="1"/>
  <c r="E345" i="1" s="1"/>
  <c r="D9" i="2"/>
  <c r="D9" i="1" s="1"/>
  <c r="D38" i="1" s="1"/>
  <c r="D67" i="1" s="1"/>
  <c r="D96" i="1" s="1"/>
  <c r="D125" i="1" s="1"/>
  <c r="D154" i="1" s="1"/>
  <c r="D183" i="1" s="1"/>
  <c r="D212" i="1" s="1"/>
  <c r="D241" i="1" s="1"/>
  <c r="D270" i="1" s="1"/>
  <c r="D299" i="1" s="1"/>
  <c r="D328" i="1" s="1"/>
  <c r="E9" i="2"/>
  <c r="E9" i="1" s="1"/>
  <c r="E38" i="1" s="1"/>
  <c r="E67" i="1" s="1"/>
  <c r="E96" i="1" s="1"/>
  <c r="E125" i="1" s="1"/>
  <c r="E154" i="1" s="1"/>
  <c r="E183" i="1" s="1"/>
  <c r="E212" i="1" s="1"/>
  <c r="E241" i="1" s="1"/>
  <c r="E270" i="1" s="1"/>
  <c r="E299" i="1" s="1"/>
  <c r="E328" i="1" s="1"/>
  <c r="F10" i="2"/>
  <c r="F10" i="1" s="1"/>
  <c r="F39" i="1" s="1"/>
  <c r="F68" i="1" s="1"/>
  <c r="F97" i="1" s="1"/>
  <c r="F126" i="1" s="1"/>
  <c r="F155" i="1" s="1"/>
  <c r="F184" i="1" s="1"/>
  <c r="F213" i="1" s="1"/>
  <c r="F242" i="1" s="1"/>
  <c r="F271" i="1" s="1"/>
  <c r="F300" i="1" s="1"/>
  <c r="F329" i="1" s="1"/>
  <c r="H11" i="2"/>
  <c r="H12" i="4"/>
  <c r="F5" i="5"/>
  <c r="F26" i="1" s="1"/>
  <c r="F55" i="1" s="1"/>
  <c r="F84" i="1" s="1"/>
  <c r="F113" i="1" s="1"/>
  <c r="F142" i="1" s="1"/>
  <c r="F171" i="1" s="1"/>
  <c r="F200" i="1" s="1"/>
  <c r="F229" i="1" s="1"/>
  <c r="F258" i="1" s="1"/>
  <c r="F287" i="1" s="1"/>
  <c r="F316" i="1" s="1"/>
  <c r="F345" i="1" s="1"/>
  <c r="G6" i="5"/>
  <c r="G11" i="2"/>
  <c r="G10" i="2"/>
  <c r="H6" i="5"/>
  <c r="C16" i="1"/>
  <c r="C45" i="1" s="1"/>
  <c r="C74" i="1" s="1"/>
  <c r="C103" i="1" s="1"/>
  <c r="C132" i="1" s="1"/>
  <c r="C161" i="1" s="1"/>
  <c r="C190" i="1" s="1"/>
  <c r="C219" i="1" s="1"/>
  <c r="C248" i="1" s="1"/>
  <c r="C277" i="1" s="1"/>
  <c r="C306" i="1" s="1"/>
  <c r="C335" i="1" s="1"/>
  <c r="G15" i="4"/>
  <c r="G7" i="4"/>
  <c r="D11" i="2"/>
  <c r="D11" i="1" s="1"/>
  <c r="D40" i="1" s="1"/>
  <c r="D69" i="1" s="1"/>
  <c r="D98" i="1" s="1"/>
  <c r="D127" i="1" s="1"/>
  <c r="D156" i="1" s="1"/>
  <c r="D185" i="1" s="1"/>
  <c r="D214" i="1" s="1"/>
  <c r="D243" i="1" s="1"/>
  <c r="D272" i="1" s="1"/>
  <c r="D301" i="1" s="1"/>
  <c r="D330" i="1" s="1"/>
  <c r="E11" i="2"/>
  <c r="E11" i="1" s="1"/>
  <c r="E40" i="1" s="1"/>
  <c r="E69" i="1" s="1"/>
  <c r="E98" i="1" s="1"/>
  <c r="E127" i="1" s="1"/>
  <c r="E156" i="1" s="1"/>
  <c r="E185" i="1" s="1"/>
  <c r="E214" i="1" s="1"/>
  <c r="E243" i="1" s="1"/>
  <c r="E272" i="1" s="1"/>
  <c r="E301" i="1" s="1"/>
  <c r="E330" i="1" s="1"/>
  <c r="D14" i="4"/>
  <c r="D24" i="1" s="1"/>
  <c r="D53" i="1" s="1"/>
  <c r="D82" i="1" s="1"/>
  <c r="D111" i="1" s="1"/>
  <c r="D140" i="1" s="1"/>
  <c r="D169" i="1" s="1"/>
  <c r="D198" i="1" s="1"/>
  <c r="D227" i="1" s="1"/>
  <c r="D256" i="1" s="1"/>
  <c r="D285" i="1" s="1"/>
  <c r="D314" i="1" s="1"/>
  <c r="D343" i="1" s="1"/>
  <c r="C24" i="1"/>
  <c r="C53" i="1" s="1"/>
  <c r="C82" i="1" s="1"/>
  <c r="C111" i="1" s="1"/>
  <c r="C140" i="1" s="1"/>
  <c r="C169" i="1" s="1"/>
  <c r="C198" i="1" s="1"/>
  <c r="C227" i="1" s="1"/>
  <c r="C256" i="1" s="1"/>
  <c r="C285" i="1" s="1"/>
  <c r="C314" i="1" s="1"/>
  <c r="C343" i="1" s="1"/>
  <c r="D5" i="2"/>
  <c r="D5" i="1" s="1"/>
  <c r="D34" i="1" s="1"/>
  <c r="D63" i="1" s="1"/>
  <c r="D92" i="1" s="1"/>
  <c r="D121" i="1" s="1"/>
  <c r="D150" i="1" s="1"/>
  <c r="D179" i="1" s="1"/>
  <c r="D208" i="1" s="1"/>
  <c r="D237" i="1" s="1"/>
  <c r="D266" i="1" s="1"/>
  <c r="D295" i="1" s="1"/>
  <c r="D324" i="1" s="1"/>
  <c r="E12" i="4"/>
  <c r="E22" i="1" s="1"/>
  <c r="E51" i="1" s="1"/>
  <c r="E80" i="1" s="1"/>
  <c r="E109" i="1" s="1"/>
  <c r="E138" i="1" s="1"/>
  <c r="E167" i="1" s="1"/>
  <c r="E196" i="1" s="1"/>
  <c r="E225" i="1" s="1"/>
  <c r="E254" i="1" s="1"/>
  <c r="E283" i="1" s="1"/>
  <c r="E312" i="1" s="1"/>
  <c r="E341" i="1" s="1"/>
  <c r="H6" i="4"/>
  <c r="E5" i="2"/>
  <c r="E5" i="1" s="1"/>
  <c r="E34" i="1" s="1"/>
  <c r="E63" i="1" s="1"/>
  <c r="E92" i="1" s="1"/>
  <c r="E121" i="1" s="1"/>
  <c r="E150" i="1" s="1"/>
  <c r="E179" i="1" s="1"/>
  <c r="E208" i="1" s="1"/>
  <c r="E237" i="1" s="1"/>
  <c r="E266" i="1" s="1"/>
  <c r="E295" i="1" s="1"/>
  <c r="E324" i="1" s="1"/>
  <c r="F5" i="2"/>
  <c r="F5" i="1" s="1"/>
  <c r="F34" i="1" s="1"/>
  <c r="F63" i="1" s="1"/>
  <c r="F92" i="1" s="1"/>
  <c r="F121" i="1" s="1"/>
  <c r="F150" i="1" s="1"/>
  <c r="F179" i="1" s="1"/>
  <c r="F208" i="1" s="1"/>
  <c r="F237" i="1" s="1"/>
  <c r="F266" i="1" s="1"/>
  <c r="F295" i="1" s="1"/>
  <c r="F324" i="1" s="1"/>
  <c r="F7" i="2"/>
  <c r="F7" i="1" s="1"/>
  <c r="F36" i="1" s="1"/>
  <c r="F65" i="1" s="1"/>
  <c r="F94" i="1" s="1"/>
  <c r="F123" i="1" s="1"/>
  <c r="F152" i="1" s="1"/>
  <c r="F181" i="1" s="1"/>
  <c r="F210" i="1" s="1"/>
  <c r="F239" i="1" s="1"/>
  <c r="F268" i="1" s="1"/>
  <c r="F297" i="1" s="1"/>
  <c r="F326" i="1" s="1"/>
  <c r="H14" i="4"/>
  <c r="D12" i="4"/>
  <c r="D22" i="1" s="1"/>
  <c r="D51" i="1" s="1"/>
  <c r="D80" i="1" s="1"/>
  <c r="D109" i="1" s="1"/>
  <c r="D138" i="1" s="1"/>
  <c r="D167" i="1" s="1"/>
  <c r="D196" i="1" s="1"/>
  <c r="D225" i="1" s="1"/>
  <c r="D254" i="1" s="1"/>
  <c r="D283" i="1" s="1"/>
  <c r="D312" i="1" s="1"/>
  <c r="D341" i="1" s="1"/>
  <c r="F6" i="4"/>
  <c r="F16" i="1" s="1"/>
  <c r="F45" i="1" s="1"/>
  <c r="F74" i="1" s="1"/>
  <c r="F103" i="1" s="1"/>
  <c r="F132" i="1" s="1"/>
  <c r="F161" i="1" s="1"/>
  <c r="F190" i="1" s="1"/>
  <c r="F219" i="1" s="1"/>
  <c r="F248" i="1" s="1"/>
  <c r="F277" i="1" s="1"/>
  <c r="F306" i="1" s="1"/>
  <c r="F335" i="1" s="1"/>
  <c r="F6" i="5"/>
  <c r="F27" i="1" s="1"/>
  <c r="F56" i="1" s="1"/>
  <c r="F85" i="1" s="1"/>
  <c r="F114" i="1" s="1"/>
  <c r="F143" i="1" s="1"/>
  <c r="F172" i="1" s="1"/>
  <c r="F201" i="1" s="1"/>
  <c r="F230" i="1" s="1"/>
  <c r="F259" i="1" s="1"/>
  <c r="F288" i="1" s="1"/>
  <c r="F317" i="1" s="1"/>
  <c r="F346" i="1" s="1"/>
  <c r="E10" i="2"/>
  <c r="E10" i="1" s="1"/>
  <c r="E39" i="1" s="1"/>
  <c r="E68" i="1" s="1"/>
  <c r="E97" i="1" s="1"/>
  <c r="E126" i="1" s="1"/>
  <c r="E155" i="1" s="1"/>
  <c r="E184" i="1" s="1"/>
  <c r="E213" i="1" s="1"/>
  <c r="E242" i="1" s="1"/>
  <c r="E271" i="1" s="1"/>
  <c r="E300" i="1" s="1"/>
  <c r="E329" i="1" s="1"/>
  <c r="H10" i="2"/>
  <c r="G5" i="5"/>
  <c r="E6" i="5"/>
  <c r="E27" i="1" s="1"/>
  <c r="E56" i="1" s="1"/>
  <c r="E85" i="1" s="1"/>
  <c r="E114" i="1" s="1"/>
  <c r="E143" i="1" s="1"/>
  <c r="E172" i="1" s="1"/>
  <c r="E201" i="1" s="1"/>
  <c r="E230" i="1" s="1"/>
  <c r="E259" i="1" s="1"/>
  <c r="E288" i="1" s="1"/>
  <c r="E317" i="1" s="1"/>
  <c r="E346" i="1" s="1"/>
  <c r="G7" i="2"/>
  <c r="V3" i="3"/>
  <c r="E6" i="3"/>
  <c r="G22" i="2" s="1"/>
  <c r="S22" i="2" s="1"/>
  <c r="G9" i="4"/>
  <c r="E11" i="4"/>
  <c r="E21" i="1" s="1"/>
  <c r="E50" i="1" s="1"/>
  <c r="E79" i="1" s="1"/>
  <c r="E108" i="1" s="1"/>
  <c r="E137" i="1" s="1"/>
  <c r="E166" i="1" s="1"/>
  <c r="E195" i="1" s="1"/>
  <c r="E224" i="1" s="1"/>
  <c r="E253" i="1" s="1"/>
  <c r="E282" i="1" s="1"/>
  <c r="E311" i="1" s="1"/>
  <c r="E340" i="1" s="1"/>
  <c r="G9" i="2"/>
  <c r="C21" i="1"/>
  <c r="C50" i="1" s="1"/>
  <c r="C79" i="1" s="1"/>
  <c r="C108" i="1" s="1"/>
  <c r="C137" i="1" s="1"/>
  <c r="C166" i="1" s="1"/>
  <c r="C195" i="1" s="1"/>
  <c r="C224" i="1" s="1"/>
  <c r="C253" i="1" s="1"/>
  <c r="C282" i="1" s="1"/>
  <c r="C311" i="1" s="1"/>
  <c r="C340" i="1" s="1"/>
  <c r="G14" i="4"/>
  <c r="G6" i="4"/>
  <c r="G8" i="2"/>
  <c r="C14" i="1"/>
  <c r="C43" i="1" s="1"/>
  <c r="C72" i="1" s="1"/>
  <c r="C101" i="1" s="1"/>
  <c r="C130" i="1" s="1"/>
  <c r="C159" i="1" s="1"/>
  <c r="C188" i="1" s="1"/>
  <c r="C217" i="1" s="1"/>
  <c r="C246" i="1" s="1"/>
  <c r="C275" i="1" s="1"/>
  <c r="C304" i="1" s="1"/>
  <c r="C333" i="1" s="1"/>
  <c r="G13" i="4"/>
  <c r="G5" i="4"/>
  <c r="D11" i="4"/>
  <c r="D21" i="1" s="1"/>
  <c r="D50" i="1" s="1"/>
  <c r="D79" i="1" s="1"/>
  <c r="D108" i="1" s="1"/>
  <c r="D137" i="1" s="1"/>
  <c r="D166" i="1" s="1"/>
  <c r="D195" i="1" s="1"/>
  <c r="D224" i="1" s="1"/>
  <c r="D253" i="1" s="1"/>
  <c r="D282" i="1" s="1"/>
  <c r="D311" i="1" s="1"/>
  <c r="D340" i="1" s="1"/>
  <c r="H10" i="4"/>
  <c r="H7" i="2"/>
  <c r="F10" i="4"/>
  <c r="F20" i="1" s="1"/>
  <c r="F49" i="1" s="1"/>
  <c r="F78" i="1" s="1"/>
  <c r="F107" i="1" s="1"/>
  <c r="F136" i="1" s="1"/>
  <c r="F165" i="1" s="1"/>
  <c r="F194" i="1" s="1"/>
  <c r="F223" i="1" s="1"/>
  <c r="F252" i="1" s="1"/>
  <c r="F281" i="1" s="1"/>
  <c r="F310" i="1" s="1"/>
  <c r="F339" i="1" s="1"/>
  <c r="G12" i="4"/>
  <c r="G14" i="2"/>
  <c r="E10" i="4"/>
  <c r="E20" i="1" s="1"/>
  <c r="E49" i="1" s="1"/>
  <c r="E78" i="1" s="1"/>
  <c r="E107" i="1" s="1"/>
  <c r="E136" i="1" s="1"/>
  <c r="E165" i="1" s="1"/>
  <c r="E194" i="1" s="1"/>
  <c r="E223" i="1" s="1"/>
  <c r="E252" i="1" s="1"/>
  <c r="E281" i="1" s="1"/>
  <c r="E310" i="1" s="1"/>
  <c r="E339" i="1" s="1"/>
  <c r="G11" i="4"/>
  <c r="G13" i="2"/>
  <c r="G10" i="4"/>
  <c r="G12" i="2"/>
  <c r="H21" i="3"/>
  <c r="H25" i="3"/>
  <c r="H9" i="3"/>
  <c r="H13" i="3"/>
  <c r="H6" i="3"/>
  <c r="H10" i="3"/>
  <c r="H7" i="3"/>
  <c r="H22" i="3"/>
  <c r="H11" i="3"/>
  <c r="H17" i="3"/>
  <c r="H18" i="3"/>
  <c r="H19" i="3"/>
  <c r="H27" i="3"/>
  <c r="H8" i="3"/>
  <c r="H14" i="3"/>
  <c r="H26" i="3"/>
  <c r="H15" i="3"/>
  <c r="H23" i="3"/>
  <c r="H12" i="3"/>
  <c r="H16" i="3"/>
  <c r="H20" i="3"/>
  <c r="H24" i="3"/>
  <c r="F13" i="4"/>
  <c r="F23" i="1" s="1"/>
  <c r="F52" i="1" s="1"/>
  <c r="F81" i="1" s="1"/>
  <c r="F110" i="1" s="1"/>
  <c r="F139" i="1" s="1"/>
  <c r="F168" i="1" s="1"/>
  <c r="F197" i="1" s="1"/>
  <c r="F226" i="1" s="1"/>
  <c r="F255" i="1" s="1"/>
  <c r="F284" i="1" s="1"/>
  <c r="F313" i="1" s="1"/>
  <c r="F342" i="1" s="1"/>
  <c r="E13" i="4"/>
  <c r="E23" i="1" s="1"/>
  <c r="E52" i="1" s="1"/>
  <c r="E81" i="1" s="1"/>
  <c r="E110" i="1" s="1"/>
  <c r="E139" i="1" s="1"/>
  <c r="E168" i="1" s="1"/>
  <c r="E197" i="1" s="1"/>
  <c r="E226" i="1" s="1"/>
  <c r="E255" i="1" s="1"/>
  <c r="E284" i="1" s="1"/>
  <c r="E313" i="1" s="1"/>
  <c r="E342" i="1" s="1"/>
  <c r="D13" i="4"/>
  <c r="D23" i="1" s="1"/>
  <c r="D52" i="1" s="1"/>
  <c r="D81" i="1" s="1"/>
  <c r="D110" i="1" s="1"/>
  <c r="D139" i="1" s="1"/>
  <c r="D168" i="1" s="1"/>
  <c r="D197" i="1" s="1"/>
  <c r="D226" i="1" s="1"/>
  <c r="D255" i="1" s="1"/>
  <c r="D284" i="1" s="1"/>
  <c r="D313" i="1" s="1"/>
  <c r="D342" i="1" s="1"/>
  <c r="C23" i="1"/>
  <c r="C52" i="1" s="1"/>
  <c r="C81" i="1" s="1"/>
  <c r="C110" i="1" s="1"/>
  <c r="C139" i="1" s="1"/>
  <c r="C168" i="1" s="1"/>
  <c r="C197" i="1" s="1"/>
  <c r="C226" i="1" s="1"/>
  <c r="C255" i="1" s="1"/>
  <c r="C284" i="1" s="1"/>
  <c r="C313" i="1" s="1"/>
  <c r="C342" i="1" s="1"/>
  <c r="E13" i="2"/>
  <c r="E13" i="1" s="1"/>
  <c r="E42" i="1" s="1"/>
  <c r="E71" i="1" s="1"/>
  <c r="E100" i="1" s="1"/>
  <c r="E129" i="1" s="1"/>
  <c r="E158" i="1" s="1"/>
  <c r="E187" i="1" s="1"/>
  <c r="E216" i="1" s="1"/>
  <c r="E245" i="1" s="1"/>
  <c r="E274" i="1" s="1"/>
  <c r="E303" i="1" s="1"/>
  <c r="E332" i="1" s="1"/>
  <c r="C13" i="1"/>
  <c r="C42" i="1" s="1"/>
  <c r="C71" i="1" s="1"/>
  <c r="C100" i="1" s="1"/>
  <c r="C129" i="1" s="1"/>
  <c r="C158" i="1" s="1"/>
  <c r="C187" i="1" s="1"/>
  <c r="C216" i="1" s="1"/>
  <c r="C245" i="1" s="1"/>
  <c r="C274" i="1" s="1"/>
  <c r="C303" i="1" s="1"/>
  <c r="C332" i="1" s="1"/>
  <c r="C8" i="1"/>
  <c r="C37" i="1" s="1"/>
  <c r="C66" i="1" s="1"/>
  <c r="C95" i="1" s="1"/>
  <c r="C124" i="1" s="1"/>
  <c r="C153" i="1" s="1"/>
  <c r="C182" i="1" s="1"/>
  <c r="C211" i="1" s="1"/>
  <c r="C240" i="1" s="1"/>
  <c r="C269" i="1" s="1"/>
  <c r="C298" i="1" s="1"/>
  <c r="C327" i="1" s="1"/>
  <c r="D8" i="2"/>
  <c r="D8" i="1" s="1"/>
  <c r="D37" i="1" s="1"/>
  <c r="D66" i="1" s="1"/>
  <c r="D95" i="1" s="1"/>
  <c r="D124" i="1" s="1"/>
  <c r="D153" i="1" s="1"/>
  <c r="D182" i="1" s="1"/>
  <c r="D211" i="1" s="1"/>
  <c r="D240" i="1" s="1"/>
  <c r="D269" i="1" s="1"/>
  <c r="D298" i="1" s="1"/>
  <c r="D327" i="1" s="1"/>
  <c r="E8" i="2"/>
  <c r="E8" i="1" s="1"/>
  <c r="E37" i="1" s="1"/>
  <c r="E66" i="1" s="1"/>
  <c r="E95" i="1" s="1"/>
  <c r="E124" i="1" s="1"/>
  <c r="E153" i="1" s="1"/>
  <c r="E182" i="1" s="1"/>
  <c r="E211" i="1" s="1"/>
  <c r="E240" i="1" s="1"/>
  <c r="E269" i="1" s="1"/>
  <c r="E298" i="1" s="1"/>
  <c r="E327" i="1" s="1"/>
  <c r="G5" i="1"/>
  <c r="G34" i="1" s="1"/>
  <c r="G63" i="1" s="1"/>
  <c r="G92" i="1" s="1"/>
  <c r="G121" i="1" s="1"/>
  <c r="G150" i="1" s="1"/>
  <c r="G179" i="1" s="1"/>
  <c r="G208" i="1" s="1"/>
  <c r="G237" i="1" s="1"/>
  <c r="G266" i="1" s="1"/>
  <c r="G295" i="1" s="1"/>
  <c r="G324" i="1" s="1"/>
  <c r="S35" i="1" l="1"/>
  <c r="X22" i="2"/>
  <c r="X35" i="1" s="1"/>
  <c r="X64" i="1" s="1"/>
  <c r="Y22" i="2"/>
  <c r="Y35" i="1" s="1"/>
  <c r="Y64" i="1" s="1"/>
  <c r="G32" i="4"/>
  <c r="S32" i="4" s="1"/>
  <c r="C49" i="4"/>
  <c r="E32" i="4"/>
  <c r="D32" i="4"/>
  <c r="F32" i="4"/>
  <c r="H32" i="4"/>
  <c r="C56" i="2"/>
  <c r="F40" i="2"/>
  <c r="G40" i="2"/>
  <c r="S40" i="2" s="1"/>
  <c r="D40" i="2"/>
  <c r="H40" i="2"/>
  <c r="E40" i="2"/>
  <c r="S40" i="1"/>
  <c r="X27" i="2"/>
  <c r="X40" i="1" s="1"/>
  <c r="X69" i="1" s="1"/>
  <c r="Y27" i="2"/>
  <c r="Y40" i="1" s="1"/>
  <c r="Y69" i="1" s="1"/>
  <c r="G76" i="4"/>
  <c r="S76" i="4" s="1"/>
  <c r="H76" i="4"/>
  <c r="F76" i="4"/>
  <c r="E76" i="4"/>
  <c r="D76" i="4"/>
  <c r="C93" i="4"/>
  <c r="G84" i="11"/>
  <c r="S55" i="11"/>
  <c r="C100" i="4"/>
  <c r="D83" i="4"/>
  <c r="H83" i="4"/>
  <c r="E83" i="4"/>
  <c r="F83" i="4"/>
  <c r="G83" i="4"/>
  <c r="S83" i="4" s="1"/>
  <c r="X179" i="11"/>
  <c r="Y179" i="11"/>
  <c r="C161" i="4"/>
  <c r="D144" i="4"/>
  <c r="E144" i="4"/>
  <c r="H144" i="4"/>
  <c r="G144" i="4"/>
  <c r="S144" i="4" s="1"/>
  <c r="F144" i="4"/>
  <c r="D46" i="2"/>
  <c r="F46" i="2"/>
  <c r="E46" i="2"/>
  <c r="C62" i="2"/>
  <c r="G46" i="2"/>
  <c r="S46" i="2" s="1"/>
  <c r="H46" i="2"/>
  <c r="X26" i="11"/>
  <c r="Y26" i="11"/>
  <c r="S39" i="1"/>
  <c r="X26" i="2"/>
  <c r="X39" i="1" s="1"/>
  <c r="X68" i="1" s="1"/>
  <c r="Y26" i="2"/>
  <c r="Y39" i="1" s="1"/>
  <c r="Y68" i="1" s="1"/>
  <c r="G237" i="11"/>
  <c r="S208" i="11"/>
  <c r="C42" i="4"/>
  <c r="G25" i="4"/>
  <c r="S25" i="4" s="1"/>
  <c r="E25" i="4"/>
  <c r="D25" i="4"/>
  <c r="H25" i="4"/>
  <c r="F25" i="4"/>
  <c r="S34" i="1"/>
  <c r="X21" i="2"/>
  <c r="Y21" i="2"/>
  <c r="D149" i="4"/>
  <c r="G149" i="4"/>
  <c r="S149" i="4" s="1"/>
  <c r="V149" i="4" s="1"/>
  <c r="E149" i="4"/>
  <c r="C166" i="4"/>
  <c r="H149" i="4"/>
  <c r="F149" i="4"/>
  <c r="G78" i="11"/>
  <c r="S49" i="11"/>
  <c r="C45" i="2"/>
  <c r="F29" i="2"/>
  <c r="E29" i="2"/>
  <c r="G29" i="2"/>
  <c r="S29" i="2" s="1"/>
  <c r="S19" i="2" s="1"/>
  <c r="S17" i="2" s="1"/>
  <c r="H29" i="2"/>
  <c r="D29" i="2"/>
  <c r="S43" i="1"/>
  <c r="X30" i="2"/>
  <c r="X43" i="1" s="1"/>
  <c r="X72" i="1" s="1"/>
  <c r="Y30" i="2"/>
  <c r="Y43" i="1" s="1"/>
  <c r="Y72" i="1" s="1"/>
  <c r="C53" i="2"/>
  <c r="E37" i="2"/>
  <c r="H37" i="2"/>
  <c r="D37" i="2"/>
  <c r="F37" i="2"/>
  <c r="G37" i="2"/>
  <c r="S37" i="2" s="1"/>
  <c r="C47" i="4"/>
  <c r="H30" i="4"/>
  <c r="D30" i="4"/>
  <c r="G30" i="4"/>
  <c r="S30" i="4" s="1"/>
  <c r="E30" i="4"/>
  <c r="F30" i="4"/>
  <c r="G73" i="11"/>
  <c r="S44" i="11"/>
  <c r="S36" i="1"/>
  <c r="X23" i="2"/>
  <c r="X36" i="1" s="1"/>
  <c r="X65" i="1" s="1"/>
  <c r="Y23" i="2"/>
  <c r="Y36" i="1" s="1"/>
  <c r="Y65" i="1" s="1"/>
  <c r="G75" i="11"/>
  <c r="S46" i="11"/>
  <c r="F42" i="2"/>
  <c r="H42" i="2"/>
  <c r="E42" i="2"/>
  <c r="C58" i="2"/>
  <c r="G42" i="2"/>
  <c r="S42" i="2" s="1"/>
  <c r="D42" i="2"/>
  <c r="X20" i="11"/>
  <c r="Y20" i="11"/>
  <c r="G81" i="4"/>
  <c r="S81" i="4" s="1"/>
  <c r="H81" i="4"/>
  <c r="C98" i="4"/>
  <c r="D81" i="4"/>
  <c r="E81" i="4"/>
  <c r="F81" i="4"/>
  <c r="X15" i="11"/>
  <c r="Y15" i="11"/>
  <c r="X17" i="11"/>
  <c r="Y17" i="11"/>
  <c r="H75" i="4"/>
  <c r="G75" i="4"/>
  <c r="S75" i="4" s="1"/>
  <c r="E75" i="4"/>
  <c r="C92" i="4"/>
  <c r="F75" i="4"/>
  <c r="D75" i="4"/>
  <c r="C164" i="4"/>
  <c r="E147" i="4"/>
  <c r="D147" i="4"/>
  <c r="F147" i="4"/>
  <c r="G147" i="4"/>
  <c r="S147" i="4" s="1"/>
  <c r="V147" i="4" s="1"/>
  <c r="H147" i="4"/>
  <c r="G82" i="11"/>
  <c r="S53" i="11"/>
  <c r="G66" i="11"/>
  <c r="S37" i="11"/>
  <c r="G69" i="11"/>
  <c r="S40" i="11"/>
  <c r="G71" i="11"/>
  <c r="S42" i="11"/>
  <c r="V42" i="11" s="1"/>
  <c r="D39" i="2"/>
  <c r="C55" i="2"/>
  <c r="F39" i="2"/>
  <c r="E39" i="2"/>
  <c r="H39" i="2"/>
  <c r="G39" i="2"/>
  <c r="S39" i="2" s="1"/>
  <c r="V39" i="2" s="1"/>
  <c r="C46" i="5"/>
  <c r="F38" i="5"/>
  <c r="D38" i="5"/>
  <c r="E38" i="5"/>
  <c r="C54" i="5"/>
  <c r="G38" i="5"/>
  <c r="S38" i="5" s="1"/>
  <c r="H38" i="5"/>
  <c r="G77" i="11"/>
  <c r="S48" i="11"/>
  <c r="C160" i="4"/>
  <c r="H143" i="4"/>
  <c r="G143" i="4"/>
  <c r="S143" i="4" s="1"/>
  <c r="F143" i="4"/>
  <c r="E143" i="4"/>
  <c r="D143" i="4"/>
  <c r="F28" i="4"/>
  <c r="C45" i="4"/>
  <c r="G28" i="4"/>
  <c r="S28" i="4" s="1"/>
  <c r="H28" i="4"/>
  <c r="D28" i="4"/>
  <c r="E28" i="4"/>
  <c r="X24" i="11"/>
  <c r="Y24" i="11"/>
  <c r="X8" i="11"/>
  <c r="Y8" i="11"/>
  <c r="X11" i="11"/>
  <c r="Y11" i="11"/>
  <c r="X13" i="11"/>
  <c r="Y13" i="11"/>
  <c r="D70" i="5"/>
  <c r="G70" i="5"/>
  <c r="S70" i="5" s="1"/>
  <c r="V70" i="5" s="1"/>
  <c r="H70" i="5"/>
  <c r="C78" i="5"/>
  <c r="C86" i="5"/>
  <c r="J86" i="5" s="1"/>
  <c r="U86" i="5" s="1"/>
  <c r="E70" i="5"/>
  <c r="F70" i="5"/>
  <c r="X19" i="11"/>
  <c r="Y19" i="11"/>
  <c r="G24" i="4"/>
  <c r="S24" i="4" s="1"/>
  <c r="F24" i="4"/>
  <c r="E24" i="4"/>
  <c r="D24" i="4"/>
  <c r="C41" i="4"/>
  <c r="H24" i="4"/>
  <c r="C96" i="4"/>
  <c r="D79" i="4"/>
  <c r="H79" i="4"/>
  <c r="E79" i="4"/>
  <c r="G79" i="4"/>
  <c r="S79" i="4" s="1"/>
  <c r="F79" i="4"/>
  <c r="G65" i="11"/>
  <c r="S36" i="11"/>
  <c r="G67" i="11"/>
  <c r="S38" i="11"/>
  <c r="V38" i="11" s="1"/>
  <c r="G85" i="11"/>
  <c r="S56" i="11"/>
  <c r="C158" i="4"/>
  <c r="E141" i="4"/>
  <c r="H141" i="4"/>
  <c r="F141" i="4"/>
  <c r="G141" i="4"/>
  <c r="S141" i="4" s="1"/>
  <c r="V141" i="4" s="1"/>
  <c r="D141" i="4"/>
  <c r="H22" i="5"/>
  <c r="D22" i="5"/>
  <c r="E22" i="5"/>
  <c r="F22" i="5"/>
  <c r="C30" i="5"/>
  <c r="G22" i="5"/>
  <c r="S22" i="5" s="1"/>
  <c r="C91" i="4"/>
  <c r="G74" i="4"/>
  <c r="S74" i="4" s="1"/>
  <c r="V74" i="4" s="1"/>
  <c r="E74" i="4"/>
  <c r="H74" i="4"/>
  <c r="D74" i="4"/>
  <c r="F74" i="4"/>
  <c r="G80" i="11"/>
  <c r="S51" i="11"/>
  <c r="X7" i="11"/>
  <c r="Y7" i="11"/>
  <c r="X9" i="11"/>
  <c r="Y9" i="11"/>
  <c r="X27" i="11"/>
  <c r="Y27" i="11"/>
  <c r="C39" i="4"/>
  <c r="H22" i="4"/>
  <c r="G22" i="4"/>
  <c r="S22" i="4" s="1"/>
  <c r="E22" i="4"/>
  <c r="F22" i="4"/>
  <c r="D22" i="4"/>
  <c r="G74" i="11"/>
  <c r="S45" i="11"/>
  <c r="G14" i="5"/>
  <c r="S14" i="5" s="1"/>
  <c r="F14" i="5"/>
  <c r="D14" i="5"/>
  <c r="E14" i="5"/>
  <c r="H14" i="5"/>
  <c r="G76" i="11"/>
  <c r="S47" i="11"/>
  <c r="D142" i="4"/>
  <c r="C159" i="4"/>
  <c r="H142" i="4"/>
  <c r="G142" i="4"/>
  <c r="S142" i="4" s="1"/>
  <c r="F142" i="4"/>
  <c r="E142" i="4"/>
  <c r="H28" i="2"/>
  <c r="C44" i="2"/>
  <c r="D28" i="2"/>
  <c r="F28" i="2"/>
  <c r="E28" i="2"/>
  <c r="G28" i="2"/>
  <c r="S28" i="2" s="1"/>
  <c r="X22" i="11"/>
  <c r="Y22" i="11"/>
  <c r="G81" i="11"/>
  <c r="S52" i="11"/>
  <c r="G83" i="11"/>
  <c r="S54" i="11"/>
  <c r="C167" i="4"/>
  <c r="H150" i="4"/>
  <c r="G150" i="4"/>
  <c r="S150" i="4" s="1"/>
  <c r="F150" i="4"/>
  <c r="E150" i="4"/>
  <c r="D150" i="4"/>
  <c r="H73" i="4"/>
  <c r="G73" i="4"/>
  <c r="S73" i="4" s="1"/>
  <c r="F73" i="4"/>
  <c r="E73" i="4"/>
  <c r="D73" i="4"/>
  <c r="C90" i="4"/>
  <c r="X16" i="11"/>
  <c r="Y16" i="11"/>
  <c r="X18" i="11"/>
  <c r="Y18" i="11"/>
  <c r="G23" i="4"/>
  <c r="S23" i="4" s="1"/>
  <c r="E23" i="4"/>
  <c r="C40" i="4"/>
  <c r="F23" i="4"/>
  <c r="H23" i="4"/>
  <c r="D23" i="4"/>
  <c r="C162" i="4"/>
  <c r="H145" i="4"/>
  <c r="F145" i="4"/>
  <c r="G145" i="4"/>
  <c r="S145" i="4" s="1"/>
  <c r="E145" i="4"/>
  <c r="D145" i="4"/>
  <c r="X23" i="11"/>
  <c r="Y23" i="11"/>
  <c r="X25" i="11"/>
  <c r="Y25" i="11"/>
  <c r="G31" i="4"/>
  <c r="S31" i="4" s="1"/>
  <c r="C48" i="4"/>
  <c r="H31" i="4"/>
  <c r="D31" i="4"/>
  <c r="F31" i="4"/>
  <c r="E31" i="4"/>
  <c r="G72" i="11"/>
  <c r="S43" i="11"/>
  <c r="S38" i="1"/>
  <c r="X25" i="2"/>
  <c r="X38" i="1" s="1"/>
  <c r="X67" i="1" s="1"/>
  <c r="Y25" i="2"/>
  <c r="Y38" i="1" s="1"/>
  <c r="Y67" i="1" s="1"/>
  <c r="X10" i="11"/>
  <c r="Y10" i="11"/>
  <c r="F37" i="5"/>
  <c r="C53" i="5"/>
  <c r="J53" i="5" s="1"/>
  <c r="H37" i="5"/>
  <c r="E37" i="5"/>
  <c r="D37" i="5"/>
  <c r="G37" i="5"/>
  <c r="S37" i="5" s="1"/>
  <c r="C45" i="5"/>
  <c r="H26" i="4"/>
  <c r="C43" i="4"/>
  <c r="G26" i="4"/>
  <c r="S26" i="4" s="1"/>
  <c r="E26" i="4"/>
  <c r="F26" i="4"/>
  <c r="D26" i="4"/>
  <c r="H146" i="4"/>
  <c r="G146" i="4"/>
  <c r="S146" i="4" s="1"/>
  <c r="D146" i="4"/>
  <c r="C163" i="4"/>
  <c r="J163" i="4" s="1"/>
  <c r="U163" i="4" s="1"/>
  <c r="F146" i="4"/>
  <c r="E146" i="4"/>
  <c r="C165" i="4"/>
  <c r="G148" i="4"/>
  <c r="S148" i="4" s="1"/>
  <c r="D148" i="4"/>
  <c r="E148" i="4"/>
  <c r="H148" i="4"/>
  <c r="F148" i="4"/>
  <c r="H82" i="4"/>
  <c r="F82" i="4"/>
  <c r="E82" i="4"/>
  <c r="C99" i="4"/>
  <c r="G82" i="4"/>
  <c r="S82" i="4" s="1"/>
  <c r="D82" i="4"/>
  <c r="X14" i="11"/>
  <c r="Y14" i="11"/>
  <c r="S37" i="1"/>
  <c r="X24" i="2"/>
  <c r="X37" i="1" s="1"/>
  <c r="X66" i="1" s="1"/>
  <c r="Y24" i="2"/>
  <c r="Y37" i="1" s="1"/>
  <c r="Y66" i="1" s="1"/>
  <c r="H69" i="5"/>
  <c r="E69" i="5"/>
  <c r="C85" i="5"/>
  <c r="F69" i="5"/>
  <c r="D69" i="5"/>
  <c r="G69" i="5"/>
  <c r="S69" i="5" s="1"/>
  <c r="C77" i="5"/>
  <c r="C59" i="2"/>
  <c r="H43" i="2"/>
  <c r="F43" i="2"/>
  <c r="E43" i="2"/>
  <c r="D43" i="2"/>
  <c r="G43" i="2"/>
  <c r="S43" i="2" s="1"/>
  <c r="V43" i="2" s="1"/>
  <c r="H77" i="4"/>
  <c r="G77" i="4"/>
  <c r="S77" i="4" s="1"/>
  <c r="F77" i="4"/>
  <c r="E77" i="4"/>
  <c r="D77" i="4"/>
  <c r="C94" i="4"/>
  <c r="C44" i="4"/>
  <c r="H27" i="4"/>
  <c r="G27" i="4"/>
  <c r="S27" i="4" s="1"/>
  <c r="E27" i="4"/>
  <c r="F27" i="4"/>
  <c r="D27" i="4"/>
  <c r="C46" i="4"/>
  <c r="J46" i="4" s="1"/>
  <c r="U46" i="4" s="1"/>
  <c r="F29" i="4"/>
  <c r="G29" i="4"/>
  <c r="S29" i="4" s="1"/>
  <c r="V29" i="4" s="1"/>
  <c r="E29" i="4"/>
  <c r="D29" i="4"/>
  <c r="H29" i="4"/>
  <c r="G70" i="11"/>
  <c r="S41" i="11"/>
  <c r="G6" i="2"/>
  <c r="G6" i="11"/>
  <c r="E21" i="5"/>
  <c r="D21" i="5"/>
  <c r="F21" i="5"/>
  <c r="G21" i="5"/>
  <c r="S21" i="5" s="1"/>
  <c r="H21" i="5"/>
  <c r="C29" i="5"/>
  <c r="C95" i="4"/>
  <c r="F78" i="4"/>
  <c r="G78" i="4"/>
  <c r="S78" i="4" s="1"/>
  <c r="V78" i="4" s="1"/>
  <c r="E78" i="4"/>
  <c r="H78" i="4"/>
  <c r="D78" i="4"/>
  <c r="G80" i="4"/>
  <c r="S80" i="4" s="1"/>
  <c r="V80" i="4" s="1"/>
  <c r="H80" i="4"/>
  <c r="D80" i="4"/>
  <c r="E80" i="4"/>
  <c r="F80" i="4"/>
  <c r="C97" i="4"/>
  <c r="X12" i="11"/>
  <c r="Y12" i="11"/>
  <c r="F38" i="2"/>
  <c r="C54" i="2"/>
  <c r="H38" i="2"/>
  <c r="G38" i="2"/>
  <c r="S38" i="2" s="1"/>
  <c r="E38" i="2"/>
  <c r="D38" i="2"/>
  <c r="X21" i="11"/>
  <c r="Y21" i="11"/>
  <c r="F13" i="5"/>
  <c r="H13" i="5"/>
  <c r="G13" i="5"/>
  <c r="S13" i="5" s="1"/>
  <c r="D13" i="5"/>
  <c r="E13" i="5"/>
  <c r="G79" i="11"/>
  <c r="S50" i="11"/>
  <c r="G68" i="11"/>
  <c r="S39" i="11"/>
  <c r="G151" i="4"/>
  <c r="S151" i="4" s="1"/>
  <c r="E151" i="4"/>
  <c r="D151" i="4"/>
  <c r="F151" i="4"/>
  <c r="C168" i="4"/>
  <c r="H151" i="4"/>
  <c r="H41" i="2"/>
  <c r="G41" i="2"/>
  <c r="S41" i="2" s="1"/>
  <c r="C57" i="2"/>
  <c r="D41" i="2"/>
  <c r="E41" i="2"/>
  <c r="F41" i="2"/>
  <c r="J15" i="11"/>
  <c r="J22" i="4"/>
  <c r="J73" i="4"/>
  <c r="J158" i="4"/>
  <c r="J90" i="4"/>
  <c r="J39" i="4"/>
  <c r="J141" i="4"/>
  <c r="V41" i="11"/>
  <c r="V49" i="11"/>
  <c r="V34" i="11"/>
  <c r="V150" i="11"/>
  <c r="V46" i="11"/>
  <c r="V54" i="11"/>
  <c r="V63" i="11"/>
  <c r="V44" i="11"/>
  <c r="V208" i="11"/>
  <c r="V92" i="11"/>
  <c r="V56" i="11"/>
  <c r="V47" i="11"/>
  <c r="V36" i="11"/>
  <c r="V48" i="11"/>
  <c r="V121" i="11"/>
  <c r="V37" i="11"/>
  <c r="V40" i="11"/>
  <c r="V52" i="11"/>
  <c r="V179" i="11"/>
  <c r="V43" i="11"/>
  <c r="V53" i="11"/>
  <c r="J79" i="4"/>
  <c r="U79" i="4" s="1"/>
  <c r="J147" i="4"/>
  <c r="U147" i="4" s="1"/>
  <c r="J164" i="4"/>
  <c r="U164" i="4" s="1"/>
  <c r="J96" i="4"/>
  <c r="U96" i="4" s="1"/>
  <c r="J28" i="4"/>
  <c r="U28" i="4" s="1"/>
  <c r="J45" i="4"/>
  <c r="U45" i="4" s="1"/>
  <c r="J26" i="11"/>
  <c r="J37" i="5"/>
  <c r="J21" i="5"/>
  <c r="J13" i="5"/>
  <c r="J69" i="5"/>
  <c r="J85" i="5"/>
  <c r="J77" i="5"/>
  <c r="J45" i="5"/>
  <c r="J22" i="11"/>
  <c r="J80" i="4"/>
  <c r="U80" i="4" s="1"/>
  <c r="J29" i="4"/>
  <c r="U29" i="4" s="1"/>
  <c r="J148" i="4"/>
  <c r="U148" i="4" s="1"/>
  <c r="J165" i="4"/>
  <c r="U165" i="4" s="1"/>
  <c r="J14" i="11"/>
  <c r="J46" i="2"/>
  <c r="U46" i="2" s="1"/>
  <c r="J30" i="2"/>
  <c r="U30" i="2" s="1"/>
  <c r="J62" i="2"/>
  <c r="U62" i="2" s="1"/>
  <c r="J7" i="11"/>
  <c r="J39" i="2"/>
  <c r="U39" i="2" s="1"/>
  <c r="J23" i="2"/>
  <c r="U23" i="2" s="1"/>
  <c r="J55" i="2"/>
  <c r="U55" i="2" s="1"/>
  <c r="J5" i="11"/>
  <c r="J37" i="2"/>
  <c r="J21" i="2"/>
  <c r="J53" i="2"/>
  <c r="V13" i="5"/>
  <c r="V14" i="5"/>
  <c r="V69" i="5"/>
  <c r="V37" i="5"/>
  <c r="V21" i="5"/>
  <c r="V22" i="5"/>
  <c r="J20" i="11"/>
  <c r="J146" i="4"/>
  <c r="U146" i="4" s="1"/>
  <c r="J27" i="4"/>
  <c r="U27" i="4" s="1"/>
  <c r="J78" i="4"/>
  <c r="U78" i="4" s="1"/>
  <c r="J38" i="5"/>
  <c r="U38" i="5" s="1"/>
  <c r="J14" i="5"/>
  <c r="U14" i="5" s="1"/>
  <c r="J70" i="5"/>
  <c r="U70" i="5" s="1"/>
  <c r="J22" i="5"/>
  <c r="U22" i="5" s="1"/>
  <c r="J78" i="5"/>
  <c r="U78" i="5" s="1"/>
  <c r="J54" i="5"/>
  <c r="U54" i="5" s="1"/>
  <c r="J46" i="5"/>
  <c r="U46" i="5" s="1"/>
  <c r="J30" i="5"/>
  <c r="U30" i="5" s="1"/>
  <c r="J6" i="11"/>
  <c r="J22" i="2"/>
  <c r="U22" i="2" s="1"/>
  <c r="J38" i="2"/>
  <c r="U38" i="2" s="1"/>
  <c r="J24" i="11"/>
  <c r="J150" i="4"/>
  <c r="U150" i="4" s="1"/>
  <c r="J48" i="4"/>
  <c r="U48" i="4" s="1"/>
  <c r="J82" i="4"/>
  <c r="U82" i="4" s="1"/>
  <c r="J167" i="4"/>
  <c r="U167" i="4" s="1"/>
  <c r="J31" i="4"/>
  <c r="U31" i="4" s="1"/>
  <c r="J24" i="2"/>
  <c r="U24" i="2" s="1"/>
  <c r="J40" i="2"/>
  <c r="U40" i="2" s="1"/>
  <c r="J56" i="2"/>
  <c r="U56" i="2" s="1"/>
  <c r="J10" i="11"/>
  <c r="J26" i="2"/>
  <c r="U26" i="2" s="1"/>
  <c r="J58" i="2"/>
  <c r="U58" i="2" s="1"/>
  <c r="J42" i="2"/>
  <c r="U42" i="2" s="1"/>
  <c r="J16" i="11"/>
  <c r="J142" i="4"/>
  <c r="U142" i="4" s="1"/>
  <c r="J40" i="4"/>
  <c r="U40" i="4" s="1"/>
  <c r="J91" i="4"/>
  <c r="U91" i="4" s="1"/>
  <c r="J74" i="4"/>
  <c r="U74" i="4" s="1"/>
  <c r="J23" i="4"/>
  <c r="U23" i="4" s="1"/>
  <c r="J159" i="4"/>
  <c r="U159" i="4" s="1"/>
  <c r="J26" i="4"/>
  <c r="U26" i="4" s="1"/>
  <c r="J77" i="4"/>
  <c r="U77" i="4" s="1"/>
  <c r="J145" i="4"/>
  <c r="U145" i="4" s="1"/>
  <c r="J94" i="4"/>
  <c r="U94" i="4" s="1"/>
  <c r="J45" i="2"/>
  <c r="U45" i="2" s="1"/>
  <c r="J29" i="2"/>
  <c r="U29" i="2" s="1"/>
  <c r="V27" i="4"/>
  <c r="V23" i="4"/>
  <c r="V77" i="4"/>
  <c r="V81" i="4"/>
  <c r="V28" i="4"/>
  <c r="V24" i="4"/>
  <c r="V32" i="4"/>
  <c r="V142" i="4"/>
  <c r="V143" i="4"/>
  <c r="V76" i="4"/>
  <c r="V73" i="4"/>
  <c r="V31" i="4"/>
  <c r="V25" i="4"/>
  <c r="V145" i="4"/>
  <c r="V82" i="4"/>
  <c r="V30" i="4"/>
  <c r="V22" i="4"/>
  <c r="V151" i="4"/>
  <c r="V75" i="4"/>
  <c r="V144" i="4"/>
  <c r="V79" i="4"/>
  <c r="V26" i="4"/>
  <c r="J41" i="2"/>
  <c r="U41" i="2" s="1"/>
  <c r="J25" i="2"/>
  <c r="U25" i="2" s="1"/>
  <c r="J57" i="2"/>
  <c r="U57" i="2" s="1"/>
  <c r="V38" i="2"/>
  <c r="V22" i="2"/>
  <c r="V23" i="2"/>
  <c r="V41" i="2"/>
  <c r="V42" i="2"/>
  <c r="V27" i="2"/>
  <c r="V29" i="2"/>
  <c r="V26" i="2"/>
  <c r="V30" i="2"/>
  <c r="V37" i="2"/>
  <c r="V21" i="2"/>
  <c r="V46" i="2"/>
  <c r="V25" i="2"/>
  <c r="V24" i="2"/>
  <c r="V28" i="2"/>
  <c r="V40" i="2"/>
  <c r="J11" i="11"/>
  <c r="J27" i="2"/>
  <c r="U27" i="2" s="1"/>
  <c r="J59" i="2"/>
  <c r="U59" i="2" s="1"/>
  <c r="J43" i="2"/>
  <c r="U43" i="2" s="1"/>
  <c r="J12" i="11"/>
  <c r="J44" i="2"/>
  <c r="U44" i="2" s="1"/>
  <c r="J28" i="2"/>
  <c r="U28" i="2" s="1"/>
  <c r="J18" i="11"/>
  <c r="J76" i="4"/>
  <c r="U76" i="4" s="1"/>
  <c r="J42" i="4"/>
  <c r="U42" i="4" s="1"/>
  <c r="J25" i="4"/>
  <c r="U25" i="4" s="1"/>
  <c r="J161" i="4"/>
  <c r="U161" i="4" s="1"/>
  <c r="J93" i="4"/>
  <c r="U93" i="4" s="1"/>
  <c r="J144" i="4"/>
  <c r="U144" i="4" s="1"/>
  <c r="J30" i="4"/>
  <c r="U30" i="4" s="1"/>
  <c r="J149" i="4"/>
  <c r="U149" i="4" s="1"/>
  <c r="J47" i="4"/>
  <c r="U47" i="4" s="1"/>
  <c r="J81" i="4"/>
  <c r="U81" i="4" s="1"/>
  <c r="J98" i="4"/>
  <c r="U98" i="4" s="1"/>
  <c r="J166" i="4"/>
  <c r="U166" i="4" s="1"/>
  <c r="J17" i="11"/>
  <c r="J143" i="4"/>
  <c r="U143" i="4" s="1"/>
  <c r="J75" i="4"/>
  <c r="U75" i="4" s="1"/>
  <c r="J24" i="4"/>
  <c r="U24" i="4" s="1"/>
  <c r="J41" i="4"/>
  <c r="U41" i="4" s="1"/>
  <c r="J92" i="4"/>
  <c r="U92" i="4" s="1"/>
  <c r="J83" i="4"/>
  <c r="U83" i="4" s="1"/>
  <c r="J32" i="4"/>
  <c r="U32" i="4" s="1"/>
  <c r="J49" i="4"/>
  <c r="U49" i="4" s="1"/>
  <c r="J100" i="4"/>
  <c r="U100" i="4" s="1"/>
  <c r="J151" i="4"/>
  <c r="U151" i="4" s="1"/>
  <c r="J168" i="4"/>
  <c r="U168" i="4" s="1"/>
  <c r="Y5" i="7"/>
  <c r="Y2" i="7" s="1"/>
  <c r="X2" i="7"/>
  <c r="AA5" i="7"/>
  <c r="G9" i="3"/>
  <c r="I9" i="2" s="1"/>
  <c r="J9" i="11"/>
  <c r="G8" i="3"/>
  <c r="J8" i="11"/>
  <c r="J9" i="4"/>
  <c r="J19" i="1" s="1"/>
  <c r="J48" i="1" s="1"/>
  <c r="J77" i="1" s="1"/>
  <c r="J106" i="1" s="1"/>
  <c r="J135" i="1" s="1"/>
  <c r="J164" i="1" s="1"/>
  <c r="J193" i="1" s="1"/>
  <c r="J222" i="1" s="1"/>
  <c r="J251" i="1" s="1"/>
  <c r="J280" i="1" s="1"/>
  <c r="J309" i="1" s="1"/>
  <c r="J338" i="1" s="1"/>
  <c r="J19" i="11"/>
  <c r="J5" i="2"/>
  <c r="U5" i="2" s="1"/>
  <c r="V5" i="2"/>
  <c r="V5" i="1" s="1"/>
  <c r="J11" i="4"/>
  <c r="U11" i="4" s="1"/>
  <c r="J21" i="11"/>
  <c r="G5" i="3"/>
  <c r="I5" i="2" s="1"/>
  <c r="Y5" i="2"/>
  <c r="Y5" i="1" s="1"/>
  <c r="V8" i="11"/>
  <c r="V16" i="11"/>
  <c r="V24" i="11"/>
  <c r="V9" i="11"/>
  <c r="V17" i="11"/>
  <c r="V25" i="11"/>
  <c r="V10" i="11"/>
  <c r="V18" i="11"/>
  <c r="V26" i="11"/>
  <c r="V22" i="11"/>
  <c r="V7" i="11"/>
  <c r="V11" i="11"/>
  <c r="V19" i="11"/>
  <c r="V27" i="11"/>
  <c r="V12" i="11"/>
  <c r="V20" i="11"/>
  <c r="V15" i="11"/>
  <c r="V13" i="11"/>
  <c r="V21" i="11"/>
  <c r="V14" i="11"/>
  <c r="V23" i="11"/>
  <c r="V5" i="11"/>
  <c r="J15" i="4"/>
  <c r="J25" i="1" s="1"/>
  <c r="J54" i="1" s="1"/>
  <c r="J83" i="1" s="1"/>
  <c r="J112" i="1" s="1"/>
  <c r="J141" i="1" s="1"/>
  <c r="J170" i="1" s="1"/>
  <c r="J199" i="1" s="1"/>
  <c r="J228" i="1" s="1"/>
  <c r="J257" i="1" s="1"/>
  <c r="J286" i="1" s="1"/>
  <c r="J315" i="1" s="1"/>
  <c r="J344" i="1" s="1"/>
  <c r="J25" i="11"/>
  <c r="J6" i="5"/>
  <c r="J27" i="1" s="1"/>
  <c r="J56" i="1" s="1"/>
  <c r="J85" i="1" s="1"/>
  <c r="J114" i="1" s="1"/>
  <c r="J143" i="1" s="1"/>
  <c r="J172" i="1" s="1"/>
  <c r="J201" i="1" s="1"/>
  <c r="J230" i="1" s="1"/>
  <c r="J259" i="1" s="1"/>
  <c r="J288" i="1" s="1"/>
  <c r="J317" i="1" s="1"/>
  <c r="J346" i="1" s="1"/>
  <c r="J27" i="11"/>
  <c r="J13" i="4"/>
  <c r="U13" i="4" s="1"/>
  <c r="J23" i="11"/>
  <c r="J13" i="2"/>
  <c r="U13" i="2" s="1"/>
  <c r="J13" i="11"/>
  <c r="G9" i="1"/>
  <c r="G38" i="1" s="1"/>
  <c r="G67" i="1" s="1"/>
  <c r="G96" i="1" s="1"/>
  <c r="G125" i="1" s="1"/>
  <c r="G154" i="1" s="1"/>
  <c r="G183" i="1" s="1"/>
  <c r="G212" i="1" s="1"/>
  <c r="G241" i="1" s="1"/>
  <c r="G270" i="1" s="1"/>
  <c r="G299" i="1" s="1"/>
  <c r="G328" i="1" s="1"/>
  <c r="S11" i="4"/>
  <c r="Y11" i="4" s="1"/>
  <c r="G15" i="1"/>
  <c r="G44" i="1" s="1"/>
  <c r="G73" i="1" s="1"/>
  <c r="G102" i="1" s="1"/>
  <c r="G131" i="1" s="1"/>
  <c r="G160" i="1" s="1"/>
  <c r="G189" i="1" s="1"/>
  <c r="G218" i="1" s="1"/>
  <c r="G247" i="1" s="1"/>
  <c r="G276" i="1" s="1"/>
  <c r="G305" i="1" s="1"/>
  <c r="G334" i="1" s="1"/>
  <c r="H16" i="1"/>
  <c r="H45" i="1" s="1"/>
  <c r="H74" i="1" s="1"/>
  <c r="H103" i="1" s="1"/>
  <c r="H132" i="1" s="1"/>
  <c r="H161" i="1" s="1"/>
  <c r="H190" i="1" s="1"/>
  <c r="H219" i="1" s="1"/>
  <c r="H248" i="1" s="1"/>
  <c r="H277" i="1" s="1"/>
  <c r="H306" i="1" s="1"/>
  <c r="H335" i="1" s="1"/>
  <c r="S15" i="4"/>
  <c r="Y15" i="4" s="1"/>
  <c r="H11" i="1"/>
  <c r="H40" i="1" s="1"/>
  <c r="H69" i="1" s="1"/>
  <c r="H98" i="1" s="1"/>
  <c r="H127" i="1" s="1"/>
  <c r="H156" i="1" s="1"/>
  <c r="H185" i="1" s="1"/>
  <c r="H214" i="1" s="1"/>
  <c r="H243" i="1" s="1"/>
  <c r="H272" i="1" s="1"/>
  <c r="H301" i="1" s="1"/>
  <c r="H330" i="1" s="1"/>
  <c r="H22" i="1"/>
  <c r="H51" i="1" s="1"/>
  <c r="H80" i="1" s="1"/>
  <c r="H109" i="1" s="1"/>
  <c r="H138" i="1" s="1"/>
  <c r="H167" i="1" s="1"/>
  <c r="H196" i="1" s="1"/>
  <c r="H225" i="1" s="1"/>
  <c r="H254" i="1" s="1"/>
  <c r="H283" i="1" s="1"/>
  <c r="H312" i="1" s="1"/>
  <c r="H341" i="1" s="1"/>
  <c r="S13" i="4"/>
  <c r="V13" i="4" s="1"/>
  <c r="S9" i="4"/>
  <c r="Y9" i="4" s="1"/>
  <c r="G14" i="1"/>
  <c r="G43" i="1" s="1"/>
  <c r="G72" i="1" s="1"/>
  <c r="G101" i="1" s="1"/>
  <c r="G130" i="1" s="1"/>
  <c r="G159" i="1" s="1"/>
  <c r="G188" i="1" s="1"/>
  <c r="G217" i="1" s="1"/>
  <c r="G246" i="1" s="1"/>
  <c r="G275" i="1" s="1"/>
  <c r="G304" i="1" s="1"/>
  <c r="G333" i="1" s="1"/>
  <c r="G6" i="1"/>
  <c r="G35" i="1" s="1"/>
  <c r="G64" i="1" s="1"/>
  <c r="G93" i="1" s="1"/>
  <c r="G122" i="1" s="1"/>
  <c r="G151" i="1" s="1"/>
  <c r="G180" i="1" s="1"/>
  <c r="G209" i="1" s="1"/>
  <c r="G238" i="1" s="1"/>
  <c r="G267" i="1" s="1"/>
  <c r="G296" i="1" s="1"/>
  <c r="G325" i="1" s="1"/>
  <c r="H27" i="1"/>
  <c r="H56" i="1" s="1"/>
  <c r="H85" i="1" s="1"/>
  <c r="H114" i="1" s="1"/>
  <c r="H143" i="1" s="1"/>
  <c r="H172" i="1" s="1"/>
  <c r="H201" i="1" s="1"/>
  <c r="H230" i="1" s="1"/>
  <c r="H259" i="1" s="1"/>
  <c r="H288" i="1" s="1"/>
  <c r="H317" i="1" s="1"/>
  <c r="H346" i="1" s="1"/>
  <c r="G18" i="1"/>
  <c r="G47" i="1" s="1"/>
  <c r="G76" i="1" s="1"/>
  <c r="G105" i="1" s="1"/>
  <c r="G134" i="1" s="1"/>
  <c r="G163" i="1" s="1"/>
  <c r="G192" i="1" s="1"/>
  <c r="G221" i="1" s="1"/>
  <c r="G250" i="1" s="1"/>
  <c r="G279" i="1" s="1"/>
  <c r="G308" i="1" s="1"/>
  <c r="G337" i="1" s="1"/>
  <c r="G22" i="1"/>
  <c r="G51" i="1" s="1"/>
  <c r="G80" i="1" s="1"/>
  <c r="G109" i="1" s="1"/>
  <c r="G138" i="1" s="1"/>
  <c r="G167" i="1" s="1"/>
  <c r="G196" i="1" s="1"/>
  <c r="G225" i="1" s="1"/>
  <c r="G254" i="1" s="1"/>
  <c r="G283" i="1" s="1"/>
  <c r="G312" i="1" s="1"/>
  <c r="G341" i="1" s="1"/>
  <c r="G8" i="1"/>
  <c r="G37" i="1" s="1"/>
  <c r="G66" i="1" s="1"/>
  <c r="G95" i="1" s="1"/>
  <c r="G124" i="1" s="1"/>
  <c r="G153" i="1" s="1"/>
  <c r="G182" i="1" s="1"/>
  <c r="G211" i="1" s="1"/>
  <c r="G240" i="1" s="1"/>
  <c r="G269" i="1" s="1"/>
  <c r="G298" i="1" s="1"/>
  <c r="G327" i="1" s="1"/>
  <c r="G10" i="1"/>
  <c r="G39" i="1" s="1"/>
  <c r="G68" i="1" s="1"/>
  <c r="G97" i="1" s="1"/>
  <c r="G126" i="1" s="1"/>
  <c r="G155" i="1" s="1"/>
  <c r="G184" i="1" s="1"/>
  <c r="G213" i="1" s="1"/>
  <c r="G242" i="1" s="1"/>
  <c r="G271" i="1" s="1"/>
  <c r="G300" i="1" s="1"/>
  <c r="G329" i="1" s="1"/>
  <c r="G13" i="1"/>
  <c r="G42" i="1" s="1"/>
  <c r="G71" i="1" s="1"/>
  <c r="G100" i="1" s="1"/>
  <c r="G129" i="1" s="1"/>
  <c r="G158" i="1" s="1"/>
  <c r="G187" i="1" s="1"/>
  <c r="G216" i="1" s="1"/>
  <c r="G245" i="1" s="1"/>
  <c r="G274" i="1" s="1"/>
  <c r="G303" i="1" s="1"/>
  <c r="G332" i="1" s="1"/>
  <c r="H10" i="1"/>
  <c r="H39" i="1" s="1"/>
  <c r="H68" i="1" s="1"/>
  <c r="H97" i="1" s="1"/>
  <c r="H126" i="1" s="1"/>
  <c r="H155" i="1" s="1"/>
  <c r="H184" i="1" s="1"/>
  <c r="H213" i="1" s="1"/>
  <c r="H242" i="1" s="1"/>
  <c r="H271" i="1" s="1"/>
  <c r="H300" i="1" s="1"/>
  <c r="H329" i="1" s="1"/>
  <c r="G16" i="1"/>
  <c r="G45" i="1" s="1"/>
  <c r="G74" i="1" s="1"/>
  <c r="G103" i="1" s="1"/>
  <c r="G132" i="1" s="1"/>
  <c r="G161" i="1" s="1"/>
  <c r="G190" i="1" s="1"/>
  <c r="G219" i="1" s="1"/>
  <c r="G248" i="1" s="1"/>
  <c r="G277" i="1" s="1"/>
  <c r="G306" i="1" s="1"/>
  <c r="G335" i="1" s="1"/>
  <c r="G7" i="1"/>
  <c r="G36" i="1" s="1"/>
  <c r="G65" i="1" s="1"/>
  <c r="G94" i="1" s="1"/>
  <c r="G123" i="1" s="1"/>
  <c r="G152" i="1" s="1"/>
  <c r="G181" i="1" s="1"/>
  <c r="G210" i="1" s="1"/>
  <c r="G239" i="1" s="1"/>
  <c r="G268" i="1" s="1"/>
  <c r="G297" i="1" s="1"/>
  <c r="G326" i="1" s="1"/>
  <c r="H24" i="1"/>
  <c r="H53" i="1" s="1"/>
  <c r="H82" i="1" s="1"/>
  <c r="H111" i="1" s="1"/>
  <c r="H140" i="1" s="1"/>
  <c r="H169" i="1" s="1"/>
  <c r="H198" i="1" s="1"/>
  <c r="H227" i="1" s="1"/>
  <c r="H256" i="1" s="1"/>
  <c r="H285" i="1" s="1"/>
  <c r="H314" i="1" s="1"/>
  <c r="H343" i="1" s="1"/>
  <c r="S11" i="2"/>
  <c r="X11" i="2" s="1"/>
  <c r="S7" i="4"/>
  <c r="X7" i="4" s="1"/>
  <c r="S12" i="2"/>
  <c r="S12" i="1" s="1"/>
  <c r="H7" i="1"/>
  <c r="H36" i="1" s="1"/>
  <c r="H65" i="1" s="1"/>
  <c r="H94" i="1" s="1"/>
  <c r="H123" i="1" s="1"/>
  <c r="H152" i="1" s="1"/>
  <c r="H181" i="1" s="1"/>
  <c r="H210" i="1" s="1"/>
  <c r="H239" i="1" s="1"/>
  <c r="H268" i="1" s="1"/>
  <c r="H297" i="1" s="1"/>
  <c r="H326" i="1" s="1"/>
  <c r="G24" i="1"/>
  <c r="G53" i="1" s="1"/>
  <c r="G82" i="1" s="1"/>
  <c r="G111" i="1" s="1"/>
  <c r="G140" i="1" s="1"/>
  <c r="G169" i="1" s="1"/>
  <c r="G198" i="1" s="1"/>
  <c r="G227" i="1" s="1"/>
  <c r="G256" i="1" s="1"/>
  <c r="G285" i="1" s="1"/>
  <c r="G314" i="1" s="1"/>
  <c r="G343" i="1" s="1"/>
  <c r="S6" i="5"/>
  <c r="Y6" i="5" s="1"/>
  <c r="G20" i="1"/>
  <c r="G49" i="1" s="1"/>
  <c r="G78" i="1" s="1"/>
  <c r="G107" i="1" s="1"/>
  <c r="G136" i="1" s="1"/>
  <c r="G165" i="1" s="1"/>
  <c r="G194" i="1" s="1"/>
  <c r="G223" i="1" s="1"/>
  <c r="G252" i="1" s="1"/>
  <c r="G281" i="1" s="1"/>
  <c r="G310" i="1" s="1"/>
  <c r="G339" i="1" s="1"/>
  <c r="H20" i="1"/>
  <c r="H49" i="1" s="1"/>
  <c r="H78" i="1" s="1"/>
  <c r="H107" i="1" s="1"/>
  <c r="H136" i="1" s="1"/>
  <c r="H165" i="1" s="1"/>
  <c r="H194" i="1" s="1"/>
  <c r="H223" i="1" s="1"/>
  <c r="H252" i="1" s="1"/>
  <c r="H281" i="1" s="1"/>
  <c r="H310" i="1" s="1"/>
  <c r="H339" i="1" s="1"/>
  <c r="S5" i="5"/>
  <c r="Y5" i="5" s="1"/>
  <c r="G19" i="3"/>
  <c r="S10" i="2"/>
  <c r="G11" i="1"/>
  <c r="G40" i="1" s="1"/>
  <c r="G69" i="1" s="1"/>
  <c r="G98" i="1" s="1"/>
  <c r="G127" i="1" s="1"/>
  <c r="G156" i="1" s="1"/>
  <c r="G185" i="1" s="1"/>
  <c r="G214" i="1" s="1"/>
  <c r="G243" i="1" s="1"/>
  <c r="G272" i="1" s="1"/>
  <c r="G301" i="1" s="1"/>
  <c r="G330" i="1" s="1"/>
  <c r="G27" i="1"/>
  <c r="G56" i="1" s="1"/>
  <c r="G85" i="1" s="1"/>
  <c r="G114" i="1" s="1"/>
  <c r="G143" i="1" s="1"/>
  <c r="G172" i="1" s="1"/>
  <c r="G201" i="1" s="1"/>
  <c r="G230" i="1" s="1"/>
  <c r="G259" i="1" s="1"/>
  <c r="G288" i="1" s="1"/>
  <c r="G317" i="1" s="1"/>
  <c r="G346" i="1" s="1"/>
  <c r="S7" i="2"/>
  <c r="S8" i="4"/>
  <c r="G26" i="1"/>
  <c r="G55" i="1" s="1"/>
  <c r="G84" i="1" s="1"/>
  <c r="G113" i="1" s="1"/>
  <c r="G142" i="1" s="1"/>
  <c r="G171" i="1" s="1"/>
  <c r="G200" i="1" s="1"/>
  <c r="G229" i="1" s="1"/>
  <c r="G258" i="1" s="1"/>
  <c r="G287" i="1" s="1"/>
  <c r="G316" i="1" s="1"/>
  <c r="G345" i="1" s="1"/>
  <c r="S10" i="4"/>
  <c r="S8" i="2"/>
  <c r="S6" i="2"/>
  <c r="S14" i="2"/>
  <c r="S14" i="1" s="1"/>
  <c r="G19" i="1"/>
  <c r="G48" i="1" s="1"/>
  <c r="G77" i="1" s="1"/>
  <c r="G106" i="1" s="1"/>
  <c r="G135" i="1" s="1"/>
  <c r="G164" i="1" s="1"/>
  <c r="G193" i="1" s="1"/>
  <c r="G222" i="1" s="1"/>
  <c r="G251" i="1" s="1"/>
  <c r="G280" i="1" s="1"/>
  <c r="G309" i="1" s="1"/>
  <c r="G338" i="1" s="1"/>
  <c r="G23" i="1"/>
  <c r="G52" i="1" s="1"/>
  <c r="G81" i="1" s="1"/>
  <c r="G110" i="1" s="1"/>
  <c r="G139" i="1" s="1"/>
  <c r="G168" i="1" s="1"/>
  <c r="G197" i="1" s="1"/>
  <c r="G226" i="1" s="1"/>
  <c r="G255" i="1" s="1"/>
  <c r="G284" i="1" s="1"/>
  <c r="G313" i="1" s="1"/>
  <c r="G342" i="1" s="1"/>
  <c r="G17" i="1"/>
  <c r="G46" i="1" s="1"/>
  <c r="G75" i="1" s="1"/>
  <c r="G104" i="1" s="1"/>
  <c r="G133" i="1" s="1"/>
  <c r="G162" i="1" s="1"/>
  <c r="G191" i="1" s="1"/>
  <c r="G220" i="1" s="1"/>
  <c r="G249" i="1" s="1"/>
  <c r="G278" i="1" s="1"/>
  <c r="G307" i="1" s="1"/>
  <c r="G336" i="1" s="1"/>
  <c r="S5" i="4"/>
  <c r="S9" i="2"/>
  <c r="G21" i="1"/>
  <c r="G50" i="1" s="1"/>
  <c r="G79" i="1" s="1"/>
  <c r="G108" i="1" s="1"/>
  <c r="G137" i="1" s="1"/>
  <c r="G166" i="1" s="1"/>
  <c r="G195" i="1" s="1"/>
  <c r="G224" i="1" s="1"/>
  <c r="G253" i="1" s="1"/>
  <c r="G282" i="1" s="1"/>
  <c r="G311" i="1" s="1"/>
  <c r="G340" i="1" s="1"/>
  <c r="G25" i="1"/>
  <c r="G54" i="1" s="1"/>
  <c r="G83" i="1" s="1"/>
  <c r="G112" i="1" s="1"/>
  <c r="G141" i="1" s="1"/>
  <c r="G170" i="1" s="1"/>
  <c r="G199" i="1" s="1"/>
  <c r="G228" i="1" s="1"/>
  <c r="G257" i="1" s="1"/>
  <c r="G286" i="1" s="1"/>
  <c r="G315" i="1" s="1"/>
  <c r="G344" i="1" s="1"/>
  <c r="S12" i="4"/>
  <c r="S13" i="2"/>
  <c r="G12" i="1"/>
  <c r="G41" i="1" s="1"/>
  <c r="G70" i="1" s="1"/>
  <c r="G99" i="1" s="1"/>
  <c r="G128" i="1" s="1"/>
  <c r="G157" i="1" s="1"/>
  <c r="G186" i="1" s="1"/>
  <c r="G215" i="1" s="1"/>
  <c r="G244" i="1" s="1"/>
  <c r="G273" i="1" s="1"/>
  <c r="G302" i="1" s="1"/>
  <c r="G331" i="1" s="1"/>
  <c r="S6" i="4"/>
  <c r="S14" i="4"/>
  <c r="G21" i="3"/>
  <c r="G25" i="3"/>
  <c r="G23" i="3"/>
  <c r="G13" i="3"/>
  <c r="J8" i="2"/>
  <c r="J9" i="2"/>
  <c r="X5" i="2"/>
  <c r="G16" i="3"/>
  <c r="J6" i="4"/>
  <c r="G17" i="3"/>
  <c r="J7" i="4"/>
  <c r="G6" i="3"/>
  <c r="J6" i="2"/>
  <c r="G14" i="3"/>
  <c r="J14" i="2"/>
  <c r="G20" i="3"/>
  <c r="J10" i="4"/>
  <c r="G12" i="3"/>
  <c r="J12" i="2"/>
  <c r="G10" i="3"/>
  <c r="J10" i="2"/>
  <c r="G27" i="3"/>
  <c r="G11" i="3"/>
  <c r="J11" i="2"/>
  <c r="G26" i="3"/>
  <c r="J5" i="5"/>
  <c r="G24" i="3"/>
  <c r="J14" i="4"/>
  <c r="G7" i="3"/>
  <c r="J7" i="2"/>
  <c r="H3" i="3"/>
  <c r="G18" i="3"/>
  <c r="J8" i="4"/>
  <c r="G15" i="3"/>
  <c r="J5" i="4"/>
  <c r="G22" i="3"/>
  <c r="J12" i="4"/>
  <c r="E95" i="4" l="1"/>
  <c r="C112" i="4"/>
  <c r="H95" i="4"/>
  <c r="F95" i="4"/>
  <c r="D95" i="4"/>
  <c r="G95" i="4"/>
  <c r="S95" i="4" s="1"/>
  <c r="S252" i="1"/>
  <c r="X146" i="4"/>
  <c r="X252" i="1" s="1"/>
  <c r="Y146" i="4"/>
  <c r="Y252" i="1" s="1"/>
  <c r="G110" i="11"/>
  <c r="S81" i="11"/>
  <c r="Y34" i="1"/>
  <c r="S141" i="1"/>
  <c r="X83" i="4"/>
  <c r="X141" i="1" s="1"/>
  <c r="Y83" i="4"/>
  <c r="Y141" i="1" s="1"/>
  <c r="S257" i="1"/>
  <c r="X151" i="4"/>
  <c r="X257" i="1" s="1"/>
  <c r="Y151" i="4"/>
  <c r="Y257" i="1" s="1"/>
  <c r="F54" i="2"/>
  <c r="C70" i="2"/>
  <c r="H54" i="2"/>
  <c r="G54" i="2"/>
  <c r="S54" i="2" s="1"/>
  <c r="E54" i="2"/>
  <c r="D54" i="2"/>
  <c r="F29" i="5"/>
  <c r="E29" i="5"/>
  <c r="G29" i="5"/>
  <c r="S29" i="5" s="1"/>
  <c r="D29" i="5"/>
  <c r="H29" i="5"/>
  <c r="S140" i="1"/>
  <c r="X82" i="4"/>
  <c r="X140" i="1" s="1"/>
  <c r="Y82" i="4"/>
  <c r="Y140" i="1" s="1"/>
  <c r="E90" i="4"/>
  <c r="D90" i="4"/>
  <c r="C107" i="4"/>
  <c r="H90" i="4"/>
  <c r="F90" i="4"/>
  <c r="G90" i="4"/>
  <c r="S90" i="4" s="1"/>
  <c r="S259" i="1"/>
  <c r="X70" i="5"/>
  <c r="X259" i="1" s="1"/>
  <c r="Y70" i="5"/>
  <c r="Y259" i="1" s="1"/>
  <c r="F98" i="4"/>
  <c r="G98" i="4"/>
  <c r="S98" i="4" s="1"/>
  <c r="E98" i="4"/>
  <c r="H98" i="4"/>
  <c r="D98" i="4"/>
  <c r="C115" i="4"/>
  <c r="X44" i="11"/>
  <c r="Y44" i="11"/>
  <c r="X34" i="1"/>
  <c r="G105" i="11"/>
  <c r="S76" i="11"/>
  <c r="X39" i="11"/>
  <c r="Y39" i="11"/>
  <c r="C116" i="4"/>
  <c r="H99" i="4"/>
  <c r="F99" i="4"/>
  <c r="G99" i="4"/>
  <c r="S99" i="4" s="1"/>
  <c r="E99" i="4"/>
  <c r="D99" i="4"/>
  <c r="G102" i="11"/>
  <c r="S73" i="11"/>
  <c r="S72" i="1"/>
  <c r="X46" i="2"/>
  <c r="Y46" i="2"/>
  <c r="S65" i="1"/>
  <c r="X39" i="2"/>
  <c r="Y39" i="2"/>
  <c r="V146" i="4"/>
  <c r="G97" i="11"/>
  <c r="S68" i="11"/>
  <c r="S84" i="1"/>
  <c r="S19" i="5"/>
  <c r="S17" i="5" s="1"/>
  <c r="X21" i="5"/>
  <c r="Y21" i="5"/>
  <c r="G59" i="2"/>
  <c r="S59" i="2" s="1"/>
  <c r="C75" i="2"/>
  <c r="H59" i="2"/>
  <c r="F59" i="2"/>
  <c r="E59" i="2"/>
  <c r="D59" i="2"/>
  <c r="S251" i="1"/>
  <c r="X145" i="4"/>
  <c r="X251" i="1" s="1"/>
  <c r="Y145" i="4"/>
  <c r="Y251" i="1" s="1"/>
  <c r="S41" i="1"/>
  <c r="X28" i="2"/>
  <c r="X41" i="1" s="1"/>
  <c r="X70" i="1" s="1"/>
  <c r="Y28" i="2"/>
  <c r="Y41" i="1" s="1"/>
  <c r="Y70" i="1" s="1"/>
  <c r="S247" i="1"/>
  <c r="S139" i="4"/>
  <c r="S137" i="4" s="1"/>
  <c r="X141" i="4"/>
  <c r="Y141" i="4"/>
  <c r="C113" i="4"/>
  <c r="H96" i="4"/>
  <c r="G96" i="4"/>
  <c r="S96" i="4" s="1"/>
  <c r="F96" i="4"/>
  <c r="D96" i="4"/>
  <c r="E96" i="4"/>
  <c r="D164" i="4"/>
  <c r="C181" i="4"/>
  <c r="H164" i="4"/>
  <c r="G164" i="4"/>
  <c r="S164" i="4" s="1"/>
  <c r="F164" i="4"/>
  <c r="E164" i="4"/>
  <c r="S139" i="1"/>
  <c r="X81" i="4"/>
  <c r="X139" i="1" s="1"/>
  <c r="Y81" i="4"/>
  <c r="Y139" i="1" s="1"/>
  <c r="D62" i="2"/>
  <c r="C78" i="2"/>
  <c r="G62" i="2"/>
  <c r="S62" i="2" s="1"/>
  <c r="F62" i="2"/>
  <c r="E62" i="2"/>
  <c r="H62" i="2"/>
  <c r="X50" i="11"/>
  <c r="Y50" i="11"/>
  <c r="S49" i="1"/>
  <c r="X27" i="4"/>
  <c r="X49" i="1" s="1"/>
  <c r="X78" i="1" s="1"/>
  <c r="Y27" i="4"/>
  <c r="Y49" i="1" s="1"/>
  <c r="Y78" i="1" s="1"/>
  <c r="H77" i="5"/>
  <c r="G77" i="5"/>
  <c r="S77" i="5" s="1"/>
  <c r="F77" i="5"/>
  <c r="E77" i="5"/>
  <c r="D77" i="5"/>
  <c r="X51" i="11"/>
  <c r="Y51" i="11"/>
  <c r="S249" i="1"/>
  <c r="X143" i="4"/>
  <c r="X249" i="1" s="1"/>
  <c r="Y143" i="4"/>
  <c r="Y249" i="1" s="1"/>
  <c r="D55" i="2"/>
  <c r="E55" i="2"/>
  <c r="C71" i="2"/>
  <c r="G55" i="2"/>
  <c r="S55" i="2" s="1"/>
  <c r="F55" i="2"/>
  <c r="H55" i="2"/>
  <c r="S42" i="1"/>
  <c r="X29" i="2"/>
  <c r="X42" i="1" s="1"/>
  <c r="X71" i="1" s="1"/>
  <c r="Y29" i="2"/>
  <c r="Y42" i="1" s="1"/>
  <c r="Y71" i="1" s="1"/>
  <c r="S66" i="1"/>
  <c r="X40" i="2"/>
  <c r="Y40" i="2"/>
  <c r="J99" i="4"/>
  <c r="U99" i="4" s="1"/>
  <c r="W99" i="4" s="1"/>
  <c r="W169" i="1" s="1"/>
  <c r="V50" i="11"/>
  <c r="G108" i="11"/>
  <c r="S79" i="11"/>
  <c r="H97" i="4"/>
  <c r="G97" i="4"/>
  <c r="S97" i="4" s="1"/>
  <c r="E97" i="4"/>
  <c r="F97" i="4"/>
  <c r="D97" i="4"/>
  <c r="C114" i="4"/>
  <c r="S258" i="1"/>
  <c r="S67" i="5"/>
  <c r="S65" i="5" s="1"/>
  <c r="X69" i="5"/>
  <c r="Y69" i="5"/>
  <c r="S48" i="1"/>
  <c r="X26" i="4"/>
  <c r="X48" i="1" s="1"/>
  <c r="X77" i="1" s="1"/>
  <c r="Y26" i="4"/>
  <c r="Y48" i="1" s="1"/>
  <c r="Y77" i="1" s="1"/>
  <c r="X43" i="11"/>
  <c r="Y43" i="11"/>
  <c r="S131" i="1"/>
  <c r="S71" i="4"/>
  <c r="S69" i="4" s="1"/>
  <c r="X73" i="4"/>
  <c r="Y73" i="4"/>
  <c r="S56" i="1"/>
  <c r="X14" i="5"/>
  <c r="X56" i="1" s="1"/>
  <c r="X85" i="1" s="1"/>
  <c r="Y14" i="5"/>
  <c r="Y56" i="1" s="1"/>
  <c r="Y85" i="1" s="1"/>
  <c r="G109" i="11"/>
  <c r="S80" i="11"/>
  <c r="E41" i="4"/>
  <c r="D41" i="4"/>
  <c r="C58" i="4"/>
  <c r="H41" i="4"/>
  <c r="G41" i="4"/>
  <c r="S41" i="4" s="1"/>
  <c r="F41" i="4"/>
  <c r="S52" i="1"/>
  <c r="X30" i="4"/>
  <c r="X52" i="1" s="1"/>
  <c r="X81" i="1" s="1"/>
  <c r="Y30" i="4"/>
  <c r="Y52" i="1" s="1"/>
  <c r="Y81" i="1" s="1"/>
  <c r="E100" i="4"/>
  <c r="C117" i="4"/>
  <c r="H100" i="4"/>
  <c r="G100" i="4"/>
  <c r="S100" i="4" s="1"/>
  <c r="D100" i="4"/>
  <c r="F100" i="4"/>
  <c r="G44" i="4"/>
  <c r="S44" i="4" s="1"/>
  <c r="F44" i="4"/>
  <c r="E44" i="4"/>
  <c r="D44" i="4"/>
  <c r="C61" i="4"/>
  <c r="H44" i="4"/>
  <c r="H43" i="4"/>
  <c r="D43" i="4"/>
  <c r="G43" i="4"/>
  <c r="S43" i="4" s="1"/>
  <c r="C60" i="4"/>
  <c r="E43" i="4"/>
  <c r="F43" i="4"/>
  <c r="G101" i="11"/>
  <c r="S72" i="11"/>
  <c r="H162" i="4"/>
  <c r="G162" i="4"/>
  <c r="S162" i="4" s="1"/>
  <c r="F162" i="4"/>
  <c r="E162" i="4"/>
  <c r="D162" i="4"/>
  <c r="C179" i="4"/>
  <c r="X45" i="11"/>
  <c r="Y45" i="11"/>
  <c r="D160" i="4"/>
  <c r="G160" i="4"/>
  <c r="S160" i="4" s="1"/>
  <c r="C177" i="4"/>
  <c r="H160" i="4"/>
  <c r="F160" i="4"/>
  <c r="E160" i="4"/>
  <c r="X42" i="11"/>
  <c r="Y42" i="11"/>
  <c r="G92" i="4"/>
  <c r="S92" i="4" s="1"/>
  <c r="F92" i="4"/>
  <c r="H92" i="4"/>
  <c r="D92" i="4"/>
  <c r="C109" i="4"/>
  <c r="E92" i="4"/>
  <c r="X55" i="11"/>
  <c r="Y55" i="11"/>
  <c r="C72" i="2"/>
  <c r="H56" i="2"/>
  <c r="D56" i="2"/>
  <c r="E56" i="2"/>
  <c r="F56" i="2"/>
  <c r="G56" i="2"/>
  <c r="S56" i="2" s="1"/>
  <c r="V83" i="4"/>
  <c r="V71" i="4" s="1"/>
  <c r="J29" i="5"/>
  <c r="S6" i="11"/>
  <c r="G35" i="11"/>
  <c r="G94" i="4"/>
  <c r="S94" i="4" s="1"/>
  <c r="E94" i="4"/>
  <c r="D94" i="4"/>
  <c r="C111" i="4"/>
  <c r="H94" i="4"/>
  <c r="F94" i="4"/>
  <c r="H44" i="2"/>
  <c r="C60" i="2"/>
  <c r="G44" i="2"/>
  <c r="S44" i="2" s="1"/>
  <c r="S35" i="2" s="1"/>
  <c r="S33" i="2" s="1"/>
  <c r="F44" i="2"/>
  <c r="D44" i="2"/>
  <c r="E44" i="2"/>
  <c r="G103" i="11"/>
  <c r="S74" i="11"/>
  <c r="H158" i="4"/>
  <c r="F158" i="4"/>
  <c r="E158" i="4"/>
  <c r="D158" i="4"/>
  <c r="C175" i="4"/>
  <c r="G158" i="4"/>
  <c r="S158" i="4" s="1"/>
  <c r="X48" i="11"/>
  <c r="Y48" i="11"/>
  <c r="G100" i="11"/>
  <c r="S71" i="11"/>
  <c r="S68" i="1"/>
  <c r="X42" i="2"/>
  <c r="Y42" i="2"/>
  <c r="F45" i="2"/>
  <c r="C61" i="2"/>
  <c r="H45" i="2"/>
  <c r="G45" i="2"/>
  <c r="S45" i="2" s="1"/>
  <c r="E45" i="2"/>
  <c r="D45" i="2"/>
  <c r="G113" i="11"/>
  <c r="S84" i="11"/>
  <c r="J43" i="4"/>
  <c r="U43" i="4" s="1"/>
  <c r="J95" i="4"/>
  <c r="U95" i="4" s="1"/>
  <c r="V51" i="11"/>
  <c r="V55" i="11"/>
  <c r="S55" i="1"/>
  <c r="S11" i="5"/>
  <c r="S9" i="5" s="1"/>
  <c r="X13" i="5"/>
  <c r="Y13" i="5"/>
  <c r="E85" i="5"/>
  <c r="C93" i="5"/>
  <c r="H85" i="5"/>
  <c r="G85" i="5"/>
  <c r="S85" i="5" s="1"/>
  <c r="F85" i="5"/>
  <c r="D85" i="5"/>
  <c r="X56" i="11"/>
  <c r="Y56" i="11"/>
  <c r="G106" i="11"/>
  <c r="S77" i="11"/>
  <c r="X40" i="11"/>
  <c r="Y40" i="11"/>
  <c r="S133" i="1"/>
  <c r="X75" i="4"/>
  <c r="X133" i="1" s="1"/>
  <c r="Y75" i="4"/>
  <c r="Y133" i="1" s="1"/>
  <c r="F58" i="2"/>
  <c r="H58" i="2"/>
  <c r="C74" i="2"/>
  <c r="G58" i="2"/>
  <c r="S58" i="2" s="1"/>
  <c r="D58" i="2"/>
  <c r="E58" i="2"/>
  <c r="F47" i="4"/>
  <c r="C64" i="4"/>
  <c r="G47" i="4"/>
  <c r="S47" i="4" s="1"/>
  <c r="E47" i="4"/>
  <c r="H47" i="4"/>
  <c r="D47" i="4"/>
  <c r="X49" i="11"/>
  <c r="Y49" i="11"/>
  <c r="S47" i="1"/>
  <c r="X25" i="4"/>
  <c r="X47" i="1" s="1"/>
  <c r="X76" i="1" s="1"/>
  <c r="Y25" i="4"/>
  <c r="Y47" i="1" s="1"/>
  <c r="Y76" i="1" s="1"/>
  <c r="S250" i="1"/>
  <c r="X144" i="4"/>
  <c r="X250" i="1" s="1"/>
  <c r="Y144" i="4"/>
  <c r="Y250" i="1" s="1"/>
  <c r="G93" i="4"/>
  <c r="S93" i="4" s="1"/>
  <c r="F93" i="4"/>
  <c r="E93" i="4"/>
  <c r="D93" i="4"/>
  <c r="C110" i="4"/>
  <c r="H93" i="4"/>
  <c r="J162" i="4"/>
  <c r="U162" i="4" s="1"/>
  <c r="V39" i="11"/>
  <c r="H57" i="2"/>
  <c r="C73" i="2"/>
  <c r="E57" i="2"/>
  <c r="F57" i="2"/>
  <c r="G57" i="2"/>
  <c r="S57" i="2" s="1"/>
  <c r="D57" i="2"/>
  <c r="X41" i="11"/>
  <c r="Y41" i="11"/>
  <c r="H45" i="5"/>
  <c r="D45" i="5"/>
  <c r="G45" i="5"/>
  <c r="S45" i="5" s="1"/>
  <c r="F45" i="5"/>
  <c r="E45" i="5"/>
  <c r="G114" i="11"/>
  <c r="S85" i="11"/>
  <c r="S46" i="1"/>
  <c r="X24" i="4"/>
  <c r="X46" i="1" s="1"/>
  <c r="X75" i="1" s="1"/>
  <c r="Y24" i="4"/>
  <c r="Y46" i="1" s="1"/>
  <c r="Y75" i="1" s="1"/>
  <c r="G98" i="11"/>
  <c r="S69" i="11"/>
  <c r="S63" i="1"/>
  <c r="X37" i="2"/>
  <c r="Y37" i="2"/>
  <c r="G107" i="11"/>
  <c r="S78" i="11"/>
  <c r="C59" i="4"/>
  <c r="G42" i="4"/>
  <c r="S42" i="4" s="1"/>
  <c r="E42" i="4"/>
  <c r="F42" i="4"/>
  <c r="H42" i="4"/>
  <c r="D42" i="4"/>
  <c r="C63" i="4"/>
  <c r="D46" i="4"/>
  <c r="G46" i="4"/>
  <c r="S46" i="4" s="1"/>
  <c r="E46" i="4"/>
  <c r="F46" i="4"/>
  <c r="H46" i="4"/>
  <c r="S67" i="1"/>
  <c r="X41" i="2"/>
  <c r="Y41" i="2"/>
  <c r="S138" i="1"/>
  <c r="X80" i="4"/>
  <c r="X138" i="1" s="1"/>
  <c r="Y80" i="4"/>
  <c r="Y138" i="1" s="1"/>
  <c r="G99" i="11"/>
  <c r="S70" i="11"/>
  <c r="S142" i="1"/>
  <c r="S35" i="5"/>
  <c r="S33" i="5" s="1"/>
  <c r="X37" i="5"/>
  <c r="Y37" i="5"/>
  <c r="H40" i="4"/>
  <c r="G40" i="4"/>
  <c r="S40" i="4" s="1"/>
  <c r="F40" i="4"/>
  <c r="E40" i="4"/>
  <c r="D40" i="4"/>
  <c r="C57" i="4"/>
  <c r="S256" i="1"/>
  <c r="X150" i="4"/>
  <c r="X256" i="1" s="1"/>
  <c r="Y150" i="4"/>
  <c r="Y256" i="1" s="1"/>
  <c r="S132" i="1"/>
  <c r="X74" i="4"/>
  <c r="X132" i="1" s="1"/>
  <c r="Y74" i="4"/>
  <c r="Y132" i="1" s="1"/>
  <c r="X38" i="11"/>
  <c r="Y38" i="11"/>
  <c r="S143" i="1"/>
  <c r="X38" i="5"/>
  <c r="X143" i="1" s="1"/>
  <c r="Y38" i="5"/>
  <c r="Y143" i="1" s="1"/>
  <c r="X37" i="11"/>
  <c r="Y37" i="11"/>
  <c r="X208" i="11"/>
  <c r="Y208" i="11"/>
  <c r="S135" i="1"/>
  <c r="X77" i="4"/>
  <c r="X135" i="1" s="1"/>
  <c r="Y77" i="4"/>
  <c r="Y135" i="1" s="1"/>
  <c r="H165" i="4"/>
  <c r="G165" i="4"/>
  <c r="S165" i="4" s="1"/>
  <c r="F165" i="4"/>
  <c r="E165" i="4"/>
  <c r="D165" i="4"/>
  <c r="C182" i="4"/>
  <c r="G48" i="4"/>
  <c r="S48" i="4" s="1"/>
  <c r="F48" i="4"/>
  <c r="E48" i="4"/>
  <c r="H48" i="4"/>
  <c r="D48" i="4"/>
  <c r="C65" i="4"/>
  <c r="S248" i="1"/>
  <c r="X142" i="4"/>
  <c r="X248" i="1" s="1"/>
  <c r="Y142" i="4"/>
  <c r="Y248" i="1" s="1"/>
  <c r="S44" i="1"/>
  <c r="S20" i="4"/>
  <c r="S18" i="4" s="1"/>
  <c r="X22" i="4"/>
  <c r="Y22" i="4"/>
  <c r="H91" i="4"/>
  <c r="F91" i="4"/>
  <c r="G91" i="4"/>
  <c r="S91" i="4" s="1"/>
  <c r="C108" i="4"/>
  <c r="D91" i="4"/>
  <c r="E91" i="4"/>
  <c r="G96" i="11"/>
  <c r="S67" i="11"/>
  <c r="E54" i="5"/>
  <c r="D54" i="5"/>
  <c r="H54" i="5"/>
  <c r="C62" i="5"/>
  <c r="I62" i="5" s="1"/>
  <c r="T62" i="5" s="1"/>
  <c r="G54" i="5"/>
  <c r="S54" i="5" s="1"/>
  <c r="F54" i="5"/>
  <c r="G95" i="11"/>
  <c r="S66" i="11"/>
  <c r="G266" i="11"/>
  <c r="S237" i="11"/>
  <c r="G49" i="4"/>
  <c r="S49" i="4" s="1"/>
  <c r="H49" i="4"/>
  <c r="D49" i="4"/>
  <c r="F49" i="4"/>
  <c r="C66" i="4"/>
  <c r="E49" i="4"/>
  <c r="J44" i="4"/>
  <c r="U44" i="4" s="1"/>
  <c r="U78" i="1" s="1"/>
  <c r="S53" i="1"/>
  <c r="X31" i="4"/>
  <c r="X53" i="1" s="1"/>
  <c r="X82" i="1" s="1"/>
  <c r="Y31" i="4"/>
  <c r="Y53" i="1" s="1"/>
  <c r="Y82" i="1" s="1"/>
  <c r="S45" i="1"/>
  <c r="X23" i="4"/>
  <c r="X45" i="1" s="1"/>
  <c r="X74" i="1" s="1"/>
  <c r="Y23" i="4"/>
  <c r="Y45" i="1" s="1"/>
  <c r="Y74" i="1" s="1"/>
  <c r="F167" i="4"/>
  <c r="E167" i="4"/>
  <c r="G167" i="4"/>
  <c r="S167" i="4" s="1"/>
  <c r="D167" i="4"/>
  <c r="C184" i="4"/>
  <c r="H167" i="4"/>
  <c r="S85" i="1"/>
  <c r="X22" i="5"/>
  <c r="Y22" i="5"/>
  <c r="X36" i="11"/>
  <c r="Y36" i="11"/>
  <c r="X53" i="11"/>
  <c r="Y53" i="11"/>
  <c r="X46" i="11"/>
  <c r="Y46" i="11"/>
  <c r="E166" i="4"/>
  <c r="F166" i="4"/>
  <c r="D166" i="4"/>
  <c r="C183" i="4"/>
  <c r="H166" i="4"/>
  <c r="G166" i="4"/>
  <c r="S166" i="4" s="1"/>
  <c r="F161" i="4"/>
  <c r="H161" i="4"/>
  <c r="C178" i="4"/>
  <c r="G161" i="4"/>
  <c r="S161" i="4" s="1"/>
  <c r="E161" i="4"/>
  <c r="D161" i="4"/>
  <c r="S54" i="1"/>
  <c r="X32" i="4"/>
  <c r="X54" i="1" s="1"/>
  <c r="X83" i="1" s="1"/>
  <c r="Y32" i="4"/>
  <c r="Y54" i="1" s="1"/>
  <c r="Y83" i="1" s="1"/>
  <c r="S254" i="1"/>
  <c r="X148" i="4"/>
  <c r="X254" i="1" s="1"/>
  <c r="Y148" i="4"/>
  <c r="Y254" i="1" s="1"/>
  <c r="V150" i="4"/>
  <c r="J54" i="2"/>
  <c r="U54" i="2" s="1"/>
  <c r="V45" i="11"/>
  <c r="G168" i="4"/>
  <c r="S168" i="4" s="1"/>
  <c r="F168" i="4"/>
  <c r="E168" i="4"/>
  <c r="D168" i="4"/>
  <c r="C185" i="4"/>
  <c r="H168" i="4"/>
  <c r="X54" i="11"/>
  <c r="Y54" i="11"/>
  <c r="E159" i="4"/>
  <c r="D159" i="4"/>
  <c r="C176" i="4"/>
  <c r="H159" i="4"/>
  <c r="G159" i="4"/>
  <c r="S159" i="4" s="1"/>
  <c r="F159" i="4"/>
  <c r="H39" i="4"/>
  <c r="G39" i="4"/>
  <c r="S39" i="4" s="1"/>
  <c r="D39" i="4"/>
  <c r="C56" i="4"/>
  <c r="E39" i="4"/>
  <c r="F39" i="4"/>
  <c r="H30" i="5"/>
  <c r="G30" i="5"/>
  <c r="S30" i="5" s="1"/>
  <c r="F30" i="5"/>
  <c r="D30" i="5"/>
  <c r="E30" i="5"/>
  <c r="G94" i="11"/>
  <c r="S65" i="11"/>
  <c r="G111" i="11"/>
  <c r="S82" i="11"/>
  <c r="G104" i="11"/>
  <c r="S75" i="11"/>
  <c r="S134" i="1"/>
  <c r="X76" i="4"/>
  <c r="X134" i="1" s="1"/>
  <c r="Y76" i="4"/>
  <c r="Y134" i="1" s="1"/>
  <c r="C94" i="5"/>
  <c r="H86" i="5"/>
  <c r="G86" i="5"/>
  <c r="S86" i="5" s="1"/>
  <c r="F86" i="5"/>
  <c r="E86" i="5"/>
  <c r="D86" i="5"/>
  <c r="S50" i="1"/>
  <c r="X28" i="4"/>
  <c r="X50" i="1" s="1"/>
  <c r="X79" i="1" s="1"/>
  <c r="Y28" i="4"/>
  <c r="Y50" i="1" s="1"/>
  <c r="Y79" i="1" s="1"/>
  <c r="C69" i="2"/>
  <c r="D53" i="2"/>
  <c r="H53" i="2"/>
  <c r="G53" i="2"/>
  <c r="S53" i="2" s="1"/>
  <c r="E53" i="2"/>
  <c r="F53" i="2"/>
  <c r="S255" i="1"/>
  <c r="X149" i="4"/>
  <c r="X255" i="1" s="1"/>
  <c r="Y149" i="4"/>
  <c r="Y255" i="1" s="1"/>
  <c r="S136" i="1"/>
  <c r="X78" i="4"/>
  <c r="X136" i="1" s="1"/>
  <c r="Y78" i="4"/>
  <c r="Y136" i="1" s="1"/>
  <c r="S51" i="1"/>
  <c r="X29" i="4"/>
  <c r="X51" i="1" s="1"/>
  <c r="X80" i="1" s="1"/>
  <c r="Y29" i="4"/>
  <c r="Y51" i="1" s="1"/>
  <c r="Y80" i="1" s="1"/>
  <c r="S69" i="1"/>
  <c r="X43" i="2"/>
  <c r="Y43" i="2"/>
  <c r="F163" i="4"/>
  <c r="E163" i="4"/>
  <c r="C180" i="4"/>
  <c r="D163" i="4"/>
  <c r="H163" i="4"/>
  <c r="G163" i="4"/>
  <c r="S163" i="4" s="1"/>
  <c r="D53" i="5"/>
  <c r="C61" i="5"/>
  <c r="H53" i="5"/>
  <c r="E53" i="5"/>
  <c r="G53" i="5"/>
  <c r="S53" i="5" s="1"/>
  <c r="F53" i="5"/>
  <c r="G112" i="11"/>
  <c r="S83" i="11"/>
  <c r="J160" i="4"/>
  <c r="U160" i="4" s="1"/>
  <c r="V148" i="4"/>
  <c r="V38" i="5"/>
  <c r="J97" i="4"/>
  <c r="U97" i="4" s="1"/>
  <c r="W97" i="4" s="1"/>
  <c r="W167" i="1" s="1"/>
  <c r="S64" i="1"/>
  <c r="X38" i="2"/>
  <c r="Y38" i="2"/>
  <c r="X52" i="11"/>
  <c r="Y52" i="11"/>
  <c r="X47" i="11"/>
  <c r="Y47" i="11"/>
  <c r="S137" i="1"/>
  <c r="X79" i="4"/>
  <c r="X137" i="1" s="1"/>
  <c r="Y79" i="4"/>
  <c r="Y137" i="1" s="1"/>
  <c r="F78" i="5"/>
  <c r="E78" i="5"/>
  <c r="D78" i="5"/>
  <c r="G78" i="5"/>
  <c r="S78" i="5" s="1"/>
  <c r="H78" i="5"/>
  <c r="D45" i="4"/>
  <c r="H45" i="4"/>
  <c r="G45" i="4"/>
  <c r="S45" i="4" s="1"/>
  <c r="E45" i="4"/>
  <c r="C62" i="4"/>
  <c r="F45" i="4"/>
  <c r="F46" i="5"/>
  <c r="D46" i="5"/>
  <c r="G46" i="5"/>
  <c r="S46" i="5" s="1"/>
  <c r="E46" i="5"/>
  <c r="H46" i="5"/>
  <c r="S253" i="1"/>
  <c r="X147" i="4"/>
  <c r="X253" i="1" s="1"/>
  <c r="Y147" i="4"/>
  <c r="Y253" i="1" s="1"/>
  <c r="J5" i="1"/>
  <c r="J34" i="1" s="1"/>
  <c r="J63" i="1" s="1"/>
  <c r="J92" i="1" s="1"/>
  <c r="J121" i="1" s="1"/>
  <c r="U9" i="4"/>
  <c r="U23" i="11"/>
  <c r="W23" i="11" s="1"/>
  <c r="J52" i="11"/>
  <c r="U18" i="11"/>
  <c r="W18" i="11" s="1"/>
  <c r="J47" i="11"/>
  <c r="U10" i="11"/>
  <c r="W10" i="11" s="1"/>
  <c r="J39" i="11"/>
  <c r="U27" i="11"/>
  <c r="W27" i="11" s="1"/>
  <c r="J56" i="11"/>
  <c r="U17" i="11"/>
  <c r="W17" i="11" s="1"/>
  <c r="J46" i="11"/>
  <c r="U5" i="11"/>
  <c r="W5" i="11" s="1"/>
  <c r="J34" i="11"/>
  <c r="U14" i="11"/>
  <c r="W14" i="11" s="1"/>
  <c r="J43" i="11"/>
  <c r="U21" i="11"/>
  <c r="W21" i="11" s="1"/>
  <c r="J50" i="11"/>
  <c r="U6" i="11"/>
  <c r="W6" i="11" s="1"/>
  <c r="J35" i="11"/>
  <c r="U9" i="11"/>
  <c r="W9" i="11" s="1"/>
  <c r="J38" i="11"/>
  <c r="U26" i="11"/>
  <c r="W26" i="11" s="1"/>
  <c r="J55" i="11"/>
  <c r="U25" i="11"/>
  <c r="W25" i="11" s="1"/>
  <c r="J54" i="11"/>
  <c r="U12" i="11"/>
  <c r="W12" i="11" s="1"/>
  <c r="J41" i="11"/>
  <c r="U16" i="11"/>
  <c r="W16" i="11" s="1"/>
  <c r="J45" i="11"/>
  <c r="U24" i="11"/>
  <c r="W24" i="11" s="1"/>
  <c r="J53" i="11"/>
  <c r="U20" i="11"/>
  <c r="W20" i="11" s="1"/>
  <c r="J49" i="11"/>
  <c r="U8" i="11"/>
  <c r="W8" i="11" s="1"/>
  <c r="J37" i="11"/>
  <c r="U13" i="11"/>
  <c r="W13" i="11" s="1"/>
  <c r="J42" i="11"/>
  <c r="U19" i="11"/>
  <c r="W19" i="11" s="1"/>
  <c r="J48" i="11"/>
  <c r="U7" i="11"/>
  <c r="W7" i="11" s="1"/>
  <c r="J36" i="11"/>
  <c r="U11" i="11"/>
  <c r="W11" i="11" s="1"/>
  <c r="J40" i="11"/>
  <c r="U22" i="11"/>
  <c r="W22" i="11" s="1"/>
  <c r="J51" i="11"/>
  <c r="U15" i="11"/>
  <c r="W15" i="11" s="1"/>
  <c r="J44" i="11"/>
  <c r="U6" i="5"/>
  <c r="W6" i="5" s="1"/>
  <c r="Y7" i="4"/>
  <c r="X12" i="2"/>
  <c r="X9" i="4"/>
  <c r="I11" i="11"/>
  <c r="I40" i="11" s="1"/>
  <c r="I69" i="11" s="1"/>
  <c r="I98" i="11" s="1"/>
  <c r="I127" i="11" s="1"/>
  <c r="I156" i="11" s="1"/>
  <c r="I185" i="11" s="1"/>
  <c r="I214" i="11" s="1"/>
  <c r="I243" i="11" s="1"/>
  <c r="I272" i="11" s="1"/>
  <c r="I301" i="11" s="1"/>
  <c r="I330" i="11" s="1"/>
  <c r="I59" i="2"/>
  <c r="T59" i="2" s="1"/>
  <c r="I75" i="2"/>
  <c r="T75" i="2" s="1"/>
  <c r="I43" i="2"/>
  <c r="T43" i="2" s="1"/>
  <c r="I27" i="2"/>
  <c r="T27" i="2" s="1"/>
  <c r="V44" i="1"/>
  <c r="V20" i="4"/>
  <c r="W28" i="4"/>
  <c r="W50" i="1" s="1"/>
  <c r="W79" i="1" s="1"/>
  <c r="U50" i="1"/>
  <c r="I14" i="11"/>
  <c r="I43" i="11" s="1"/>
  <c r="I72" i="11" s="1"/>
  <c r="I101" i="11" s="1"/>
  <c r="I130" i="11" s="1"/>
  <c r="I159" i="11" s="1"/>
  <c r="I188" i="11" s="1"/>
  <c r="I217" i="11" s="1"/>
  <c r="I246" i="11" s="1"/>
  <c r="I275" i="11" s="1"/>
  <c r="I304" i="11" s="1"/>
  <c r="I333" i="11" s="1"/>
  <c r="I46" i="2"/>
  <c r="T46" i="2" s="1"/>
  <c r="I62" i="2"/>
  <c r="T62" i="2" s="1"/>
  <c r="I30" i="2"/>
  <c r="T30" i="2" s="1"/>
  <c r="I78" i="2"/>
  <c r="T78" i="2" s="1"/>
  <c r="W83" i="4"/>
  <c r="W141" i="1" s="1"/>
  <c r="U141" i="1"/>
  <c r="W41" i="4"/>
  <c r="U75" i="1"/>
  <c r="W166" i="4"/>
  <c r="W284" i="1" s="1"/>
  <c r="U284" i="1"/>
  <c r="W25" i="4"/>
  <c r="W47" i="1" s="1"/>
  <c r="W76" i="1" s="1"/>
  <c r="U47" i="1"/>
  <c r="W27" i="2"/>
  <c r="W40" i="1" s="1"/>
  <c r="W69" i="1" s="1"/>
  <c r="U40" i="1"/>
  <c r="V255" i="1"/>
  <c r="V134" i="1"/>
  <c r="W145" i="4"/>
  <c r="W251" i="1" s="1"/>
  <c r="U251" i="1"/>
  <c r="W159" i="4"/>
  <c r="W277" i="1" s="1"/>
  <c r="U277" i="1"/>
  <c r="W150" i="4"/>
  <c r="W256" i="1" s="1"/>
  <c r="U256" i="1"/>
  <c r="W14" i="5"/>
  <c r="W56" i="1" s="1"/>
  <c r="W85" i="1" s="1"/>
  <c r="U56" i="1"/>
  <c r="W163" i="4"/>
  <c r="W281" i="1" s="1"/>
  <c r="U281" i="1"/>
  <c r="V258" i="1"/>
  <c r="V67" i="5"/>
  <c r="W46" i="2"/>
  <c r="U72" i="1"/>
  <c r="W148" i="4"/>
  <c r="W254" i="1" s="1"/>
  <c r="U254" i="1"/>
  <c r="U45" i="5"/>
  <c r="J43" i="5"/>
  <c r="U37" i="5"/>
  <c r="J35" i="5"/>
  <c r="W96" i="4"/>
  <c r="W166" i="1" s="1"/>
  <c r="U166" i="1"/>
  <c r="U141" i="4"/>
  <c r="J139" i="4"/>
  <c r="I23" i="11"/>
  <c r="I52" i="11" s="1"/>
  <c r="I81" i="11" s="1"/>
  <c r="I110" i="11" s="1"/>
  <c r="I139" i="11" s="1"/>
  <c r="I168" i="11" s="1"/>
  <c r="I197" i="11" s="1"/>
  <c r="I226" i="11" s="1"/>
  <c r="I255" i="11" s="1"/>
  <c r="I284" i="11" s="1"/>
  <c r="I313" i="11" s="1"/>
  <c r="I342" i="11" s="1"/>
  <c r="I47" i="4"/>
  <c r="T47" i="4" s="1"/>
  <c r="I81" i="4"/>
  <c r="T81" i="4" s="1"/>
  <c r="I98" i="4"/>
  <c r="T98" i="4" s="1"/>
  <c r="I149" i="4"/>
  <c r="T149" i="4" s="1"/>
  <c r="I30" i="4"/>
  <c r="T30" i="4" s="1"/>
  <c r="I64" i="4"/>
  <c r="T64" i="4" s="1"/>
  <c r="I166" i="4"/>
  <c r="T166" i="4" s="1"/>
  <c r="I183" i="4"/>
  <c r="T183" i="4" s="1"/>
  <c r="W57" i="2"/>
  <c r="W96" i="1" s="1"/>
  <c r="U96" i="1"/>
  <c r="W162" i="4"/>
  <c r="W280" i="1" s="1"/>
  <c r="U280" i="1"/>
  <c r="W30" i="2"/>
  <c r="W43" i="1" s="1"/>
  <c r="W72" i="1" s="1"/>
  <c r="U43" i="1"/>
  <c r="I7" i="11"/>
  <c r="I36" i="11" s="1"/>
  <c r="I65" i="11" s="1"/>
  <c r="I94" i="11" s="1"/>
  <c r="I123" i="11" s="1"/>
  <c r="I152" i="11" s="1"/>
  <c r="I181" i="11" s="1"/>
  <c r="I210" i="11" s="1"/>
  <c r="I239" i="11" s="1"/>
  <c r="I268" i="11" s="1"/>
  <c r="I297" i="11" s="1"/>
  <c r="I326" i="11" s="1"/>
  <c r="I71" i="2"/>
  <c r="T71" i="2" s="1"/>
  <c r="I39" i="2"/>
  <c r="T39" i="2" s="1"/>
  <c r="I55" i="2"/>
  <c r="T55" i="2" s="1"/>
  <c r="I23" i="2"/>
  <c r="T23" i="2" s="1"/>
  <c r="I21" i="11"/>
  <c r="I50" i="11" s="1"/>
  <c r="I79" i="11" s="1"/>
  <c r="I108" i="11" s="1"/>
  <c r="I137" i="11" s="1"/>
  <c r="I166" i="11" s="1"/>
  <c r="I195" i="11" s="1"/>
  <c r="I224" i="11" s="1"/>
  <c r="I253" i="11" s="1"/>
  <c r="I282" i="11" s="1"/>
  <c r="I311" i="11" s="1"/>
  <c r="I340" i="11" s="1"/>
  <c r="I79" i="4"/>
  <c r="T79" i="4" s="1"/>
  <c r="I147" i="4"/>
  <c r="T147" i="4" s="1"/>
  <c r="I164" i="4"/>
  <c r="T164" i="4" s="1"/>
  <c r="I28" i="4"/>
  <c r="T28" i="4" s="1"/>
  <c r="I62" i="4"/>
  <c r="T62" i="4" s="1"/>
  <c r="I45" i="4"/>
  <c r="T45" i="4" s="1"/>
  <c r="I96" i="4"/>
  <c r="T96" i="4" s="1"/>
  <c r="I181" i="4"/>
  <c r="T181" i="4" s="1"/>
  <c r="I113" i="4"/>
  <c r="T113" i="4" s="1"/>
  <c r="I8" i="11"/>
  <c r="I37" i="11" s="1"/>
  <c r="I66" i="11" s="1"/>
  <c r="I95" i="11" s="1"/>
  <c r="I124" i="11" s="1"/>
  <c r="I153" i="11" s="1"/>
  <c r="I182" i="11" s="1"/>
  <c r="I211" i="11" s="1"/>
  <c r="I240" i="11" s="1"/>
  <c r="I269" i="11" s="1"/>
  <c r="I298" i="11" s="1"/>
  <c r="I327" i="11" s="1"/>
  <c r="I72" i="2"/>
  <c r="T72" i="2" s="1"/>
  <c r="I56" i="2"/>
  <c r="T56" i="2" s="1"/>
  <c r="I40" i="2"/>
  <c r="T40" i="2" s="1"/>
  <c r="I24" i="2"/>
  <c r="T24" i="2" s="1"/>
  <c r="W168" i="4"/>
  <c r="W286" i="1" s="1"/>
  <c r="U286" i="1"/>
  <c r="W24" i="4"/>
  <c r="W46" i="1" s="1"/>
  <c r="W75" i="1" s="1"/>
  <c r="U46" i="1"/>
  <c r="W42" i="4"/>
  <c r="U76" i="1"/>
  <c r="W28" i="2"/>
  <c r="W41" i="1" s="1"/>
  <c r="U41" i="1"/>
  <c r="V36" i="1"/>
  <c r="W25" i="2"/>
  <c r="W38" i="1" s="1"/>
  <c r="W67" i="1" s="1"/>
  <c r="U38" i="1"/>
  <c r="V136" i="1"/>
  <c r="V133" i="1"/>
  <c r="V254" i="1"/>
  <c r="V132" i="1"/>
  <c r="V249" i="1"/>
  <c r="W77" i="4"/>
  <c r="W135" i="1" s="1"/>
  <c r="U135" i="1"/>
  <c r="W23" i="4"/>
  <c r="W45" i="1" s="1"/>
  <c r="W74" i="1" s="1"/>
  <c r="U45" i="1"/>
  <c r="W42" i="2"/>
  <c r="U68" i="1"/>
  <c r="W26" i="2"/>
  <c r="W39" i="1" s="1"/>
  <c r="W68" i="1" s="1"/>
  <c r="U39" i="1"/>
  <c r="W30" i="5"/>
  <c r="W114" i="1" s="1"/>
  <c r="U114" i="1"/>
  <c r="W38" i="5"/>
  <c r="W143" i="1" s="1"/>
  <c r="U143" i="1"/>
  <c r="W78" i="4"/>
  <c r="W136" i="1" s="1"/>
  <c r="U136" i="1"/>
  <c r="V259" i="1"/>
  <c r="U53" i="2"/>
  <c r="W23" i="2"/>
  <c r="W36" i="1" s="1"/>
  <c r="W65" i="1" s="1"/>
  <c r="U36" i="1"/>
  <c r="U39" i="4"/>
  <c r="V48" i="1"/>
  <c r="V131" i="1"/>
  <c r="I27" i="11"/>
  <c r="I56" i="11" s="1"/>
  <c r="I85" i="11" s="1"/>
  <c r="I114" i="11" s="1"/>
  <c r="I143" i="11" s="1"/>
  <c r="I172" i="11" s="1"/>
  <c r="I201" i="11" s="1"/>
  <c r="I230" i="11" s="1"/>
  <c r="I259" i="11" s="1"/>
  <c r="I288" i="11" s="1"/>
  <c r="I317" i="11" s="1"/>
  <c r="I346" i="11" s="1"/>
  <c r="I22" i="5"/>
  <c r="T22" i="5" s="1"/>
  <c r="I70" i="5"/>
  <c r="T70" i="5" s="1"/>
  <c r="I38" i="5"/>
  <c r="T38" i="5" s="1"/>
  <c r="I14" i="5"/>
  <c r="T14" i="5" s="1"/>
  <c r="I86" i="5"/>
  <c r="T86" i="5" s="1"/>
  <c r="I78" i="5"/>
  <c r="T78" i="5" s="1"/>
  <c r="I54" i="5"/>
  <c r="T54" i="5" s="1"/>
  <c r="I30" i="5"/>
  <c r="T30" i="5" s="1"/>
  <c r="I46" i="5"/>
  <c r="T46" i="5" s="1"/>
  <c r="I94" i="5"/>
  <c r="T94" i="5" s="1"/>
  <c r="I25" i="11"/>
  <c r="I54" i="11" s="1"/>
  <c r="I83" i="11" s="1"/>
  <c r="I112" i="11" s="1"/>
  <c r="I141" i="11" s="1"/>
  <c r="I170" i="11" s="1"/>
  <c r="I199" i="11" s="1"/>
  <c r="I228" i="11" s="1"/>
  <c r="I257" i="11" s="1"/>
  <c r="I286" i="11" s="1"/>
  <c r="I315" i="11" s="1"/>
  <c r="I344" i="11" s="1"/>
  <c r="I83" i="4"/>
  <c r="T83" i="4" s="1"/>
  <c r="I66" i="4"/>
  <c r="T66" i="4" s="1"/>
  <c r="I151" i="4"/>
  <c r="T151" i="4" s="1"/>
  <c r="I32" i="4"/>
  <c r="T32" i="4" s="1"/>
  <c r="I49" i="4"/>
  <c r="T49" i="4" s="1"/>
  <c r="I100" i="4"/>
  <c r="T100" i="4" s="1"/>
  <c r="I117" i="4"/>
  <c r="T117" i="4" s="1"/>
  <c r="I168" i="4"/>
  <c r="T168" i="4" s="1"/>
  <c r="I185" i="4"/>
  <c r="T185" i="4" s="1"/>
  <c r="I22" i="11"/>
  <c r="I51" i="11" s="1"/>
  <c r="I80" i="11" s="1"/>
  <c r="I109" i="11" s="1"/>
  <c r="I138" i="11" s="1"/>
  <c r="I167" i="11" s="1"/>
  <c r="I196" i="11" s="1"/>
  <c r="I225" i="11" s="1"/>
  <c r="I254" i="11" s="1"/>
  <c r="I283" i="11" s="1"/>
  <c r="I312" i="11" s="1"/>
  <c r="I341" i="11" s="1"/>
  <c r="I46" i="4"/>
  <c r="T46" i="4" s="1"/>
  <c r="I80" i="4"/>
  <c r="T80" i="4" s="1"/>
  <c r="I97" i="4"/>
  <c r="T97" i="4" s="1"/>
  <c r="I63" i="4"/>
  <c r="T63" i="4" s="1"/>
  <c r="I148" i="4"/>
  <c r="T148" i="4" s="1"/>
  <c r="I29" i="4"/>
  <c r="T29" i="4" s="1"/>
  <c r="I165" i="4"/>
  <c r="T165" i="4" s="1"/>
  <c r="I114" i="4"/>
  <c r="T114" i="4" s="1"/>
  <c r="I182" i="4"/>
  <c r="T182" i="4" s="1"/>
  <c r="I10" i="11"/>
  <c r="I39" i="11" s="1"/>
  <c r="I68" i="11" s="1"/>
  <c r="I97" i="11" s="1"/>
  <c r="I126" i="11" s="1"/>
  <c r="I155" i="11" s="1"/>
  <c r="I184" i="11" s="1"/>
  <c r="I213" i="11" s="1"/>
  <c r="I242" i="11" s="1"/>
  <c r="I271" i="11" s="1"/>
  <c r="I300" i="11" s="1"/>
  <c r="I329" i="11" s="1"/>
  <c r="I74" i="2"/>
  <c r="T74" i="2" s="1"/>
  <c r="I58" i="2"/>
  <c r="T58" i="2" s="1"/>
  <c r="I26" i="2"/>
  <c r="T26" i="2" s="1"/>
  <c r="I42" i="2"/>
  <c r="T42" i="2" s="1"/>
  <c r="I6" i="11"/>
  <c r="I35" i="11" s="1"/>
  <c r="I64" i="11" s="1"/>
  <c r="I93" i="11" s="1"/>
  <c r="I122" i="11" s="1"/>
  <c r="I151" i="11" s="1"/>
  <c r="I180" i="11" s="1"/>
  <c r="I209" i="11" s="1"/>
  <c r="I238" i="11" s="1"/>
  <c r="I267" i="11" s="1"/>
  <c r="I296" i="11" s="1"/>
  <c r="I325" i="11" s="1"/>
  <c r="I54" i="2"/>
  <c r="T54" i="2" s="1"/>
  <c r="I70" i="2"/>
  <c r="T70" i="2" s="1"/>
  <c r="I22" i="2"/>
  <c r="T22" i="2" s="1"/>
  <c r="I38" i="2"/>
  <c r="T38" i="2" s="1"/>
  <c r="U15" i="4"/>
  <c r="W15" i="4" s="1"/>
  <c r="W75" i="4"/>
  <c r="W133" i="1" s="1"/>
  <c r="U133" i="1"/>
  <c r="W76" i="4"/>
  <c r="W134" i="1" s="1"/>
  <c r="U134" i="1"/>
  <c r="W41" i="2"/>
  <c r="U67" i="1"/>
  <c r="V137" i="1"/>
  <c r="V257" i="1"/>
  <c r="V248" i="1"/>
  <c r="V139" i="1"/>
  <c r="W29" i="2"/>
  <c r="W42" i="1" s="1"/>
  <c r="W71" i="1" s="1"/>
  <c r="U42" i="1"/>
  <c r="W26" i="4"/>
  <c r="W48" i="1" s="1"/>
  <c r="W77" i="1" s="1"/>
  <c r="U48" i="1"/>
  <c r="W74" i="4"/>
  <c r="W132" i="1" s="1"/>
  <c r="U132" i="1"/>
  <c r="W46" i="5"/>
  <c r="W172" i="1" s="1"/>
  <c r="U172" i="1"/>
  <c r="W27" i="4"/>
  <c r="W49" i="1" s="1"/>
  <c r="W78" i="1" s="1"/>
  <c r="U49" i="1"/>
  <c r="V56" i="1"/>
  <c r="W39" i="2"/>
  <c r="U65" i="1"/>
  <c r="W46" i="4"/>
  <c r="U80" i="1"/>
  <c r="J75" i="5"/>
  <c r="U77" i="5"/>
  <c r="W164" i="4"/>
  <c r="W282" i="1" s="1"/>
  <c r="U282" i="1"/>
  <c r="U90" i="4"/>
  <c r="V39" i="1"/>
  <c r="V250" i="1"/>
  <c r="W95" i="4"/>
  <c r="W165" i="1" s="1"/>
  <c r="U165" i="1"/>
  <c r="V142" i="1"/>
  <c r="V35" i="5"/>
  <c r="S3" i="5"/>
  <c r="I5" i="11"/>
  <c r="I21" i="2"/>
  <c r="I53" i="2"/>
  <c r="I69" i="2"/>
  <c r="I37" i="2"/>
  <c r="I9" i="11"/>
  <c r="I38" i="11" s="1"/>
  <c r="I67" i="11" s="1"/>
  <c r="I96" i="11" s="1"/>
  <c r="I125" i="11" s="1"/>
  <c r="I154" i="11" s="1"/>
  <c r="I183" i="11" s="1"/>
  <c r="I212" i="11" s="1"/>
  <c r="I241" i="11" s="1"/>
  <c r="I270" i="11" s="1"/>
  <c r="I299" i="11" s="1"/>
  <c r="I328" i="11" s="1"/>
  <c r="I41" i="2"/>
  <c r="T41" i="2" s="1"/>
  <c r="I25" i="2"/>
  <c r="T25" i="2" s="1"/>
  <c r="I57" i="2"/>
  <c r="T57" i="2" s="1"/>
  <c r="W151" i="4"/>
  <c r="W257" i="1" s="1"/>
  <c r="U257" i="1"/>
  <c r="W143" i="4"/>
  <c r="W249" i="1" s="1"/>
  <c r="U249" i="1"/>
  <c r="W98" i="4"/>
  <c r="W168" i="1" s="1"/>
  <c r="U168" i="1"/>
  <c r="W44" i="2"/>
  <c r="U70" i="1"/>
  <c r="W43" i="2"/>
  <c r="U69" i="1"/>
  <c r="V138" i="1"/>
  <c r="V54" i="1"/>
  <c r="V135" i="1"/>
  <c r="W45" i="2"/>
  <c r="U71" i="1"/>
  <c r="W91" i="4"/>
  <c r="W161" i="1" s="1"/>
  <c r="U161" i="1"/>
  <c r="W56" i="2"/>
  <c r="W95" i="1" s="1"/>
  <c r="U95" i="1"/>
  <c r="W22" i="2"/>
  <c r="W35" i="1" s="1"/>
  <c r="W64" i="1" s="1"/>
  <c r="U35" i="1"/>
  <c r="W86" i="5"/>
  <c r="W317" i="1" s="1"/>
  <c r="U317" i="1"/>
  <c r="W44" i="4"/>
  <c r="V55" i="1"/>
  <c r="V11" i="5"/>
  <c r="W29" i="4"/>
  <c r="W51" i="1" s="1"/>
  <c r="W80" i="1" s="1"/>
  <c r="U51" i="1"/>
  <c r="U85" i="5"/>
  <c r="J83" i="5"/>
  <c r="W147" i="4"/>
  <c r="W253" i="1" s="1"/>
  <c r="U253" i="1"/>
  <c r="U158" i="4"/>
  <c r="J156" i="4"/>
  <c r="W30" i="4"/>
  <c r="W52" i="1" s="1"/>
  <c r="W81" i="1" s="1"/>
  <c r="U52" i="1"/>
  <c r="W38" i="2"/>
  <c r="U64" i="1"/>
  <c r="U29" i="5"/>
  <c r="J27" i="5"/>
  <c r="I15" i="11"/>
  <c r="I44" i="11" s="1"/>
  <c r="I73" i="11" s="1"/>
  <c r="I102" i="11" s="1"/>
  <c r="I131" i="11" s="1"/>
  <c r="I160" i="11" s="1"/>
  <c r="I189" i="11" s="1"/>
  <c r="I218" i="11" s="1"/>
  <c r="I247" i="11" s="1"/>
  <c r="I276" i="11" s="1"/>
  <c r="I305" i="11" s="1"/>
  <c r="I334" i="11" s="1"/>
  <c r="I39" i="4"/>
  <c r="I141" i="4"/>
  <c r="I22" i="4"/>
  <c r="I158" i="4"/>
  <c r="I90" i="4"/>
  <c r="I73" i="4"/>
  <c r="I175" i="4"/>
  <c r="I56" i="4"/>
  <c r="I107" i="4"/>
  <c r="I12" i="11"/>
  <c r="I41" i="11" s="1"/>
  <c r="I70" i="11" s="1"/>
  <c r="I99" i="11" s="1"/>
  <c r="I128" i="11" s="1"/>
  <c r="I157" i="11" s="1"/>
  <c r="I186" i="11" s="1"/>
  <c r="I215" i="11" s="1"/>
  <c r="I244" i="11" s="1"/>
  <c r="I273" i="11" s="1"/>
  <c r="I302" i="11" s="1"/>
  <c r="I331" i="11" s="1"/>
  <c r="I44" i="2"/>
  <c r="T44" i="2" s="1"/>
  <c r="I28" i="2"/>
  <c r="T28" i="2" s="1"/>
  <c r="I17" i="11"/>
  <c r="I46" i="11" s="1"/>
  <c r="I75" i="11" s="1"/>
  <c r="I104" i="11" s="1"/>
  <c r="I133" i="11" s="1"/>
  <c r="I162" i="11" s="1"/>
  <c r="I191" i="11" s="1"/>
  <c r="I220" i="11" s="1"/>
  <c r="I249" i="11" s="1"/>
  <c r="I278" i="11" s="1"/>
  <c r="I307" i="11" s="1"/>
  <c r="I336" i="11" s="1"/>
  <c r="I143" i="4"/>
  <c r="T143" i="4" s="1"/>
  <c r="I75" i="4"/>
  <c r="T75" i="4" s="1"/>
  <c r="I160" i="4"/>
  <c r="T160" i="4" s="1"/>
  <c r="I41" i="4"/>
  <c r="T41" i="4" s="1"/>
  <c r="I58" i="4"/>
  <c r="T58" i="4" s="1"/>
  <c r="I24" i="4"/>
  <c r="T24" i="4" s="1"/>
  <c r="I92" i="4"/>
  <c r="T92" i="4" s="1"/>
  <c r="I177" i="4"/>
  <c r="T177" i="4" s="1"/>
  <c r="I109" i="4"/>
  <c r="T109" i="4" s="1"/>
  <c r="W100" i="4"/>
  <c r="W170" i="1" s="1"/>
  <c r="U170" i="1"/>
  <c r="W92" i="4"/>
  <c r="W162" i="1" s="1"/>
  <c r="U162" i="1"/>
  <c r="W81" i="4"/>
  <c r="W139" i="1" s="1"/>
  <c r="U139" i="1"/>
  <c r="W144" i="4"/>
  <c r="W250" i="1" s="1"/>
  <c r="U250" i="1"/>
  <c r="W59" i="2"/>
  <c r="W98" i="1" s="1"/>
  <c r="U98" i="1"/>
  <c r="V37" i="1"/>
  <c r="V43" i="1"/>
  <c r="V247" i="1"/>
  <c r="V139" i="4"/>
  <c r="V53" i="1"/>
  <c r="V46" i="1"/>
  <c r="V45" i="1"/>
  <c r="W40" i="4"/>
  <c r="U74" i="1"/>
  <c r="W31" i="4"/>
  <c r="W53" i="1" s="1"/>
  <c r="W82" i="1" s="1"/>
  <c r="U53" i="1"/>
  <c r="W54" i="2"/>
  <c r="W93" i="1" s="1"/>
  <c r="U93" i="1"/>
  <c r="W54" i="5"/>
  <c r="W201" i="1" s="1"/>
  <c r="U201" i="1"/>
  <c r="W146" i="4"/>
  <c r="W252" i="1" s="1"/>
  <c r="U252" i="1"/>
  <c r="U21" i="2"/>
  <c r="J19" i="2"/>
  <c r="W80" i="4"/>
  <c r="W138" i="1" s="1"/>
  <c r="U138" i="1"/>
  <c r="U69" i="5"/>
  <c r="J67" i="5"/>
  <c r="W79" i="4"/>
  <c r="W137" i="1" s="1"/>
  <c r="U137" i="1"/>
  <c r="J71" i="4"/>
  <c r="U73" i="4"/>
  <c r="V41" i="1"/>
  <c r="V47" i="1"/>
  <c r="V256" i="1"/>
  <c r="W55" i="2"/>
  <c r="W94" i="1" s="1"/>
  <c r="U94" i="1"/>
  <c r="U21" i="5"/>
  <c r="J19" i="5"/>
  <c r="I24" i="11"/>
  <c r="I53" i="11" s="1"/>
  <c r="I82" i="11" s="1"/>
  <c r="I111" i="11" s="1"/>
  <c r="I140" i="11" s="1"/>
  <c r="I169" i="11" s="1"/>
  <c r="I198" i="11" s="1"/>
  <c r="I227" i="11" s="1"/>
  <c r="I256" i="11" s="1"/>
  <c r="I285" i="11" s="1"/>
  <c r="I314" i="11" s="1"/>
  <c r="I343" i="11" s="1"/>
  <c r="I31" i="4"/>
  <c r="T31" i="4" s="1"/>
  <c r="I48" i="4"/>
  <c r="T48" i="4" s="1"/>
  <c r="I82" i="4"/>
  <c r="T82" i="4" s="1"/>
  <c r="I167" i="4"/>
  <c r="T167" i="4" s="1"/>
  <c r="I150" i="4"/>
  <c r="T150" i="4" s="1"/>
  <c r="I99" i="4"/>
  <c r="T99" i="4" s="1"/>
  <c r="I65" i="4"/>
  <c r="T65" i="4" s="1"/>
  <c r="I116" i="4"/>
  <c r="T116" i="4" s="1"/>
  <c r="I26" i="11"/>
  <c r="I55" i="11" s="1"/>
  <c r="I84" i="11" s="1"/>
  <c r="I113" i="11" s="1"/>
  <c r="I142" i="11" s="1"/>
  <c r="I171" i="11" s="1"/>
  <c r="I200" i="11" s="1"/>
  <c r="I229" i="11" s="1"/>
  <c r="I258" i="11" s="1"/>
  <c r="I287" i="11" s="1"/>
  <c r="I316" i="11" s="1"/>
  <c r="I345" i="11" s="1"/>
  <c r="I37" i="5"/>
  <c r="I13" i="5"/>
  <c r="I85" i="5"/>
  <c r="I69" i="5"/>
  <c r="I53" i="5"/>
  <c r="I21" i="5"/>
  <c r="I61" i="5"/>
  <c r="I77" i="5"/>
  <c r="I93" i="5"/>
  <c r="I45" i="5"/>
  <c r="I29" i="5"/>
  <c r="W49" i="4"/>
  <c r="U83" i="1"/>
  <c r="W47" i="4"/>
  <c r="U81" i="1"/>
  <c r="W93" i="4"/>
  <c r="W163" i="1" s="1"/>
  <c r="U163" i="1"/>
  <c r="V42" i="1"/>
  <c r="V253" i="1"/>
  <c r="V52" i="1"/>
  <c r="V51" i="1"/>
  <c r="V140" i="1"/>
  <c r="V50" i="1"/>
  <c r="V252" i="1"/>
  <c r="W94" i="4"/>
  <c r="W164" i="1" s="1"/>
  <c r="U164" i="1"/>
  <c r="W142" i="4"/>
  <c r="W248" i="1" s="1"/>
  <c r="U248" i="1"/>
  <c r="W40" i="2"/>
  <c r="U66" i="1"/>
  <c r="W24" i="2"/>
  <c r="W37" i="1" s="1"/>
  <c r="W66" i="1" s="1"/>
  <c r="U37" i="1"/>
  <c r="W167" i="4"/>
  <c r="W285" i="1" s="1"/>
  <c r="U285" i="1"/>
  <c r="W78" i="5"/>
  <c r="W288" i="1" s="1"/>
  <c r="U288" i="1"/>
  <c r="V19" i="5"/>
  <c r="U37" i="2"/>
  <c r="J35" i="2"/>
  <c r="W62" i="2"/>
  <c r="W101" i="1" s="1"/>
  <c r="U101" i="1"/>
  <c r="J51" i="5"/>
  <c r="U53" i="5"/>
  <c r="U22" i="4"/>
  <c r="J20" i="4"/>
  <c r="V34" i="1"/>
  <c r="V19" i="2"/>
  <c r="W48" i="4"/>
  <c r="U82" i="1"/>
  <c r="W70" i="5"/>
  <c r="W259" i="1" s="1"/>
  <c r="U259" i="1"/>
  <c r="I18" i="11"/>
  <c r="I47" i="11" s="1"/>
  <c r="I76" i="11" s="1"/>
  <c r="I105" i="11" s="1"/>
  <c r="I134" i="11" s="1"/>
  <c r="I163" i="11" s="1"/>
  <c r="I192" i="11" s="1"/>
  <c r="I221" i="11" s="1"/>
  <c r="I250" i="11" s="1"/>
  <c r="I279" i="11" s="1"/>
  <c r="I308" i="11" s="1"/>
  <c r="I337" i="11" s="1"/>
  <c r="I76" i="4"/>
  <c r="T76" i="4" s="1"/>
  <c r="I42" i="4"/>
  <c r="T42" i="4" s="1"/>
  <c r="I161" i="4"/>
  <c r="T161" i="4" s="1"/>
  <c r="I144" i="4"/>
  <c r="T144" i="4" s="1"/>
  <c r="I59" i="4"/>
  <c r="T59" i="4" s="1"/>
  <c r="I25" i="4"/>
  <c r="T25" i="4" s="1"/>
  <c r="I93" i="4"/>
  <c r="T93" i="4" s="1"/>
  <c r="I178" i="4"/>
  <c r="T178" i="4" s="1"/>
  <c r="I110" i="4"/>
  <c r="T110" i="4" s="1"/>
  <c r="I20" i="11"/>
  <c r="I49" i="11" s="1"/>
  <c r="I78" i="11" s="1"/>
  <c r="I107" i="11" s="1"/>
  <c r="I136" i="11" s="1"/>
  <c r="I165" i="11" s="1"/>
  <c r="I194" i="11" s="1"/>
  <c r="I223" i="11" s="1"/>
  <c r="I252" i="11" s="1"/>
  <c r="I281" i="11" s="1"/>
  <c r="I310" i="11" s="1"/>
  <c r="I339" i="11" s="1"/>
  <c r="I146" i="4"/>
  <c r="T146" i="4" s="1"/>
  <c r="I44" i="4"/>
  <c r="T44" i="4" s="1"/>
  <c r="I27" i="4"/>
  <c r="T27" i="4" s="1"/>
  <c r="I78" i="4"/>
  <c r="T78" i="4" s="1"/>
  <c r="I163" i="4"/>
  <c r="T163" i="4" s="1"/>
  <c r="I95" i="4"/>
  <c r="T95" i="4" s="1"/>
  <c r="I112" i="4"/>
  <c r="T112" i="4" s="1"/>
  <c r="I180" i="4"/>
  <c r="T180" i="4" s="1"/>
  <c r="I61" i="4"/>
  <c r="T61" i="4" s="1"/>
  <c r="I16" i="11"/>
  <c r="I45" i="11" s="1"/>
  <c r="I74" i="11" s="1"/>
  <c r="I103" i="11" s="1"/>
  <c r="I132" i="11" s="1"/>
  <c r="I161" i="11" s="1"/>
  <c r="I190" i="11" s="1"/>
  <c r="I219" i="11" s="1"/>
  <c r="I248" i="11" s="1"/>
  <c r="I277" i="11" s="1"/>
  <c r="I306" i="11" s="1"/>
  <c r="I335" i="11" s="1"/>
  <c r="I142" i="4"/>
  <c r="T142" i="4" s="1"/>
  <c r="I23" i="4"/>
  <c r="T23" i="4" s="1"/>
  <c r="I40" i="4"/>
  <c r="T40" i="4" s="1"/>
  <c r="I91" i="4"/>
  <c r="T91" i="4" s="1"/>
  <c r="I74" i="4"/>
  <c r="T74" i="4" s="1"/>
  <c r="I159" i="4"/>
  <c r="T159" i="4" s="1"/>
  <c r="I57" i="4"/>
  <c r="T57" i="4" s="1"/>
  <c r="I176" i="4"/>
  <c r="T176" i="4" s="1"/>
  <c r="I13" i="11"/>
  <c r="I42" i="11" s="1"/>
  <c r="I71" i="11" s="1"/>
  <c r="I100" i="11" s="1"/>
  <c r="I129" i="11" s="1"/>
  <c r="I158" i="11" s="1"/>
  <c r="I187" i="11" s="1"/>
  <c r="I216" i="11" s="1"/>
  <c r="I245" i="11" s="1"/>
  <c r="I274" i="11" s="1"/>
  <c r="I303" i="11" s="1"/>
  <c r="I332" i="11" s="1"/>
  <c r="I61" i="2"/>
  <c r="T61" i="2" s="1"/>
  <c r="I29" i="2"/>
  <c r="T29" i="2" s="1"/>
  <c r="I45" i="2"/>
  <c r="T45" i="2" s="1"/>
  <c r="I19" i="11"/>
  <c r="I48" i="11" s="1"/>
  <c r="I77" i="11" s="1"/>
  <c r="I106" i="11" s="1"/>
  <c r="I135" i="11" s="1"/>
  <c r="I164" i="11" s="1"/>
  <c r="I193" i="11" s="1"/>
  <c r="I222" i="11" s="1"/>
  <c r="I251" i="11" s="1"/>
  <c r="I280" i="11" s="1"/>
  <c r="I309" i="11" s="1"/>
  <c r="I338" i="11" s="1"/>
  <c r="I26" i="4"/>
  <c r="T26" i="4" s="1"/>
  <c r="I145" i="4"/>
  <c r="T145" i="4" s="1"/>
  <c r="I43" i="4"/>
  <c r="T43" i="4" s="1"/>
  <c r="I94" i="4"/>
  <c r="T94" i="4" s="1"/>
  <c r="I162" i="4"/>
  <c r="T162" i="4" s="1"/>
  <c r="I77" i="4"/>
  <c r="T77" i="4" s="1"/>
  <c r="I111" i="4"/>
  <c r="T111" i="4" s="1"/>
  <c r="I60" i="4"/>
  <c r="T60" i="4" s="1"/>
  <c r="I179" i="4"/>
  <c r="T179" i="4" s="1"/>
  <c r="W32" i="4"/>
  <c r="W54" i="1" s="1"/>
  <c r="W83" i="1" s="1"/>
  <c r="U54" i="1"/>
  <c r="W160" i="4"/>
  <c r="W278" i="1" s="1"/>
  <c r="U278" i="1"/>
  <c r="W149" i="4"/>
  <c r="W255" i="1" s="1"/>
  <c r="U255" i="1"/>
  <c r="W161" i="4"/>
  <c r="W279" i="1" s="1"/>
  <c r="U279" i="1"/>
  <c r="V38" i="1"/>
  <c r="V40" i="1"/>
  <c r="V35" i="1"/>
  <c r="V251" i="1"/>
  <c r="V49" i="1"/>
  <c r="W43" i="4"/>
  <c r="U77" i="1"/>
  <c r="W58" i="2"/>
  <c r="W97" i="1" s="1"/>
  <c r="U97" i="1"/>
  <c r="W82" i="4"/>
  <c r="W140" i="1" s="1"/>
  <c r="U140" i="1"/>
  <c r="W22" i="5"/>
  <c r="U85" i="1"/>
  <c r="V143" i="1"/>
  <c r="W165" i="4"/>
  <c r="W283" i="1" s="1"/>
  <c r="U283" i="1"/>
  <c r="U13" i="5"/>
  <c r="J11" i="5"/>
  <c r="W45" i="4"/>
  <c r="U79" i="1"/>
  <c r="AB5" i="7"/>
  <c r="AB2" i="7" s="1"/>
  <c r="AA2" i="7"/>
  <c r="AD5" i="7"/>
  <c r="V6" i="5"/>
  <c r="V27" i="1" s="1"/>
  <c r="V9" i="4"/>
  <c r="V19" i="1" s="1"/>
  <c r="S27" i="1"/>
  <c r="X5" i="5"/>
  <c r="X26" i="1" s="1"/>
  <c r="Y11" i="2"/>
  <c r="Y11" i="1" s="1"/>
  <c r="X11" i="4"/>
  <c r="X21" i="1" s="1"/>
  <c r="V11" i="4"/>
  <c r="V21" i="1" s="1"/>
  <c r="V7" i="4"/>
  <c r="V17" i="1" s="1"/>
  <c r="X15" i="4"/>
  <c r="X25" i="1" s="1"/>
  <c r="V15" i="4"/>
  <c r="V25" i="1" s="1"/>
  <c r="S11" i="1"/>
  <c r="Y12" i="2"/>
  <c r="Y12" i="1" s="1"/>
  <c r="J21" i="1"/>
  <c r="J50" i="1" s="1"/>
  <c r="J79" i="1" s="1"/>
  <c r="J108" i="1" s="1"/>
  <c r="J137" i="1" s="1"/>
  <c r="J166" i="1" s="1"/>
  <c r="J195" i="1" s="1"/>
  <c r="J224" i="1" s="1"/>
  <c r="J253" i="1" s="1"/>
  <c r="J282" i="1" s="1"/>
  <c r="J311" i="1" s="1"/>
  <c r="J340" i="1" s="1"/>
  <c r="V5" i="5"/>
  <c r="V26" i="1" s="1"/>
  <c r="Y13" i="4"/>
  <c r="Y23" i="1" s="1"/>
  <c r="X13" i="4"/>
  <c r="X23" i="1" s="1"/>
  <c r="I9" i="4"/>
  <c r="I19" i="1" s="1"/>
  <c r="I48" i="1" s="1"/>
  <c r="I77" i="1" s="1"/>
  <c r="I106" i="1" s="1"/>
  <c r="I135" i="1" s="1"/>
  <c r="I164" i="1" s="1"/>
  <c r="I193" i="1" s="1"/>
  <c r="I222" i="1" s="1"/>
  <c r="I251" i="1" s="1"/>
  <c r="I280" i="1" s="1"/>
  <c r="I309" i="1" s="1"/>
  <c r="I338" i="1" s="1"/>
  <c r="J13" i="1"/>
  <c r="J42" i="1" s="1"/>
  <c r="J71" i="1" s="1"/>
  <c r="J100" i="1" s="1"/>
  <c r="J129" i="1" s="1"/>
  <c r="J158" i="1" s="1"/>
  <c r="J187" i="1" s="1"/>
  <c r="J216" i="1" s="1"/>
  <c r="J245" i="1" s="1"/>
  <c r="J274" i="1" s="1"/>
  <c r="J303" i="1" s="1"/>
  <c r="J332" i="1" s="1"/>
  <c r="I8" i="2"/>
  <c r="I8" i="1" s="1"/>
  <c r="I37" i="1" s="1"/>
  <c r="I66" i="1" s="1"/>
  <c r="I95" i="1" s="1"/>
  <c r="I124" i="1" s="1"/>
  <c r="I153" i="1" s="1"/>
  <c r="I182" i="1" s="1"/>
  <c r="I211" i="1" s="1"/>
  <c r="I240" i="1" s="1"/>
  <c r="I269" i="1" s="1"/>
  <c r="I298" i="1" s="1"/>
  <c r="I327" i="1" s="1"/>
  <c r="J23" i="1"/>
  <c r="J52" i="1" s="1"/>
  <c r="J81" i="1" s="1"/>
  <c r="J110" i="1" s="1"/>
  <c r="J139" i="1" s="1"/>
  <c r="J168" i="1" s="1"/>
  <c r="J197" i="1" s="1"/>
  <c r="J226" i="1" s="1"/>
  <c r="J255" i="1" s="1"/>
  <c r="J284" i="1" s="1"/>
  <c r="J313" i="1" s="1"/>
  <c r="J342" i="1" s="1"/>
  <c r="W9" i="4"/>
  <c r="Y14" i="4"/>
  <c r="I9" i="1"/>
  <c r="I38" i="1" s="1"/>
  <c r="I67" i="1" s="1"/>
  <c r="I96" i="1" s="1"/>
  <c r="I125" i="1" s="1"/>
  <c r="I154" i="1" s="1"/>
  <c r="I183" i="1" s="1"/>
  <c r="I212" i="1" s="1"/>
  <c r="I241" i="1" s="1"/>
  <c r="I270" i="1" s="1"/>
  <c r="I299" i="1" s="1"/>
  <c r="I328" i="1" s="1"/>
  <c r="Y19" i="1"/>
  <c r="V6" i="2"/>
  <c r="V6" i="1" s="1"/>
  <c r="S23" i="1"/>
  <c r="V14" i="2"/>
  <c r="V14" i="1" s="1"/>
  <c r="S8" i="1"/>
  <c r="V8" i="4"/>
  <c r="S17" i="1"/>
  <c r="X17" i="1"/>
  <c r="X10" i="2"/>
  <c r="J9" i="1"/>
  <c r="J38" i="1" s="1"/>
  <c r="J67" i="1" s="1"/>
  <c r="J96" i="1" s="1"/>
  <c r="J125" i="1" s="1"/>
  <c r="J154" i="1" s="1"/>
  <c r="J183" i="1" s="1"/>
  <c r="J212" i="1" s="1"/>
  <c r="J241" i="1" s="1"/>
  <c r="J270" i="1" s="1"/>
  <c r="J299" i="1" s="1"/>
  <c r="J328" i="1" s="1"/>
  <c r="U21" i="1"/>
  <c r="S20" i="1"/>
  <c r="J8" i="1"/>
  <c r="J37" i="1" s="1"/>
  <c r="J66" i="1" s="1"/>
  <c r="J95" i="1" s="1"/>
  <c r="J124" i="1" s="1"/>
  <c r="J153" i="1" s="1"/>
  <c r="J3" i="11"/>
  <c r="Y17" i="1"/>
  <c r="Y26" i="1"/>
  <c r="V7" i="2"/>
  <c r="V7" i="1" s="1"/>
  <c r="V12" i="2"/>
  <c r="V11" i="2"/>
  <c r="X12" i="1"/>
  <c r="S16" i="1"/>
  <c r="Y10" i="2"/>
  <c r="Y21" i="1"/>
  <c r="S21" i="1"/>
  <c r="S15" i="1"/>
  <c r="W5" i="2"/>
  <c r="Y13" i="2"/>
  <c r="Y25" i="1"/>
  <c r="X19" i="1"/>
  <c r="X11" i="1"/>
  <c r="X6" i="5"/>
  <c r="S10" i="1"/>
  <c r="X5" i="1"/>
  <c r="V10" i="2"/>
  <c r="V10" i="1" s="1"/>
  <c r="I5" i="1"/>
  <c r="I34" i="1" s="1"/>
  <c r="I63" i="1" s="1"/>
  <c r="S9" i="1"/>
  <c r="S26" i="1"/>
  <c r="Y27" i="1"/>
  <c r="S19" i="1"/>
  <c r="S25" i="1"/>
  <c r="X14" i="2"/>
  <c r="Y14" i="2"/>
  <c r="S7" i="1"/>
  <c r="Y8" i="4"/>
  <c r="S18" i="1"/>
  <c r="Y9" i="2"/>
  <c r="Y7" i="2"/>
  <c r="Y3" i="5"/>
  <c r="T5" i="2"/>
  <c r="X7" i="2"/>
  <c r="X8" i="4"/>
  <c r="X10" i="4"/>
  <c r="Y10" i="4"/>
  <c r="V10" i="4"/>
  <c r="X6" i="4"/>
  <c r="Y6" i="4"/>
  <c r="X6" i="2"/>
  <c r="X8" i="2"/>
  <c r="V8" i="2"/>
  <c r="S6" i="1"/>
  <c r="Y6" i="2"/>
  <c r="Y8" i="2"/>
  <c r="S24" i="1"/>
  <c r="X5" i="4"/>
  <c r="Y5" i="4"/>
  <c r="V5" i="4"/>
  <c r="S3" i="4"/>
  <c r="V12" i="4"/>
  <c r="X9" i="2"/>
  <c r="V9" i="2"/>
  <c r="S22" i="1"/>
  <c r="Y12" i="4"/>
  <c r="X12" i="4"/>
  <c r="V14" i="4"/>
  <c r="T9" i="2"/>
  <c r="I14" i="2"/>
  <c r="I10" i="2"/>
  <c r="I7" i="4"/>
  <c r="V13" i="2"/>
  <c r="S3" i="2"/>
  <c r="X13" i="2"/>
  <c r="V6" i="4"/>
  <c r="I6" i="5"/>
  <c r="I15" i="4"/>
  <c r="I14" i="4"/>
  <c r="S13" i="1"/>
  <c r="I5" i="5"/>
  <c r="I11" i="2"/>
  <c r="I10" i="4"/>
  <c r="X14" i="4"/>
  <c r="I11" i="4"/>
  <c r="I7" i="2"/>
  <c r="I5" i="4"/>
  <c r="I6" i="2"/>
  <c r="I13" i="4"/>
  <c r="I8" i="4"/>
  <c r="I12" i="2"/>
  <c r="I12" i="4"/>
  <c r="I6" i="4"/>
  <c r="I13" i="2"/>
  <c r="U9" i="2"/>
  <c r="W11" i="4"/>
  <c r="U5" i="1"/>
  <c r="U8" i="2"/>
  <c r="U19" i="1"/>
  <c r="U13" i="1"/>
  <c r="W13" i="2"/>
  <c r="U23" i="1"/>
  <c r="W13" i="4"/>
  <c r="J3" i="4"/>
  <c r="J18" i="1"/>
  <c r="J47" i="1" s="1"/>
  <c r="J76" i="1" s="1"/>
  <c r="J105" i="1" s="1"/>
  <c r="J134" i="1" s="1"/>
  <c r="J163" i="1" s="1"/>
  <c r="J192" i="1" s="1"/>
  <c r="J221" i="1" s="1"/>
  <c r="J250" i="1" s="1"/>
  <c r="J279" i="1" s="1"/>
  <c r="J308" i="1" s="1"/>
  <c r="J337" i="1" s="1"/>
  <c r="U8" i="4"/>
  <c r="J26" i="1"/>
  <c r="J55" i="1" s="1"/>
  <c r="J84" i="1" s="1"/>
  <c r="J113" i="1" s="1"/>
  <c r="J142" i="1" s="1"/>
  <c r="J171" i="1" s="1"/>
  <c r="J200" i="1" s="1"/>
  <c r="J229" i="1" s="1"/>
  <c r="J258" i="1" s="1"/>
  <c r="J287" i="1" s="1"/>
  <c r="J316" i="1" s="1"/>
  <c r="J345" i="1" s="1"/>
  <c r="U5" i="5"/>
  <c r="J3" i="5"/>
  <c r="J14" i="1"/>
  <c r="J43" i="1" s="1"/>
  <c r="J72" i="1" s="1"/>
  <c r="J101" i="1" s="1"/>
  <c r="J130" i="1" s="1"/>
  <c r="J159" i="1" s="1"/>
  <c r="J188" i="1" s="1"/>
  <c r="J217" i="1" s="1"/>
  <c r="J246" i="1" s="1"/>
  <c r="J275" i="1" s="1"/>
  <c r="J304" i="1" s="1"/>
  <c r="J333" i="1" s="1"/>
  <c r="U14" i="2"/>
  <c r="J24" i="1"/>
  <c r="J53" i="1" s="1"/>
  <c r="J82" i="1" s="1"/>
  <c r="J111" i="1" s="1"/>
  <c r="J140" i="1" s="1"/>
  <c r="J169" i="1" s="1"/>
  <c r="J198" i="1" s="1"/>
  <c r="J227" i="1" s="1"/>
  <c r="J256" i="1" s="1"/>
  <c r="J285" i="1" s="1"/>
  <c r="J314" i="1" s="1"/>
  <c r="J343" i="1" s="1"/>
  <c r="U14" i="4"/>
  <c r="J22" i="1"/>
  <c r="J51" i="1" s="1"/>
  <c r="J80" i="1" s="1"/>
  <c r="J109" i="1" s="1"/>
  <c r="J138" i="1" s="1"/>
  <c r="J167" i="1" s="1"/>
  <c r="J196" i="1" s="1"/>
  <c r="J225" i="1" s="1"/>
  <c r="J254" i="1" s="1"/>
  <c r="J283" i="1" s="1"/>
  <c r="J312" i="1" s="1"/>
  <c r="J341" i="1" s="1"/>
  <c r="U12" i="4"/>
  <c r="G3" i="3"/>
  <c r="J11" i="1"/>
  <c r="J40" i="1" s="1"/>
  <c r="J69" i="1" s="1"/>
  <c r="J98" i="1" s="1"/>
  <c r="J127" i="1" s="1"/>
  <c r="J156" i="1" s="1"/>
  <c r="J185" i="1" s="1"/>
  <c r="J214" i="1" s="1"/>
  <c r="J243" i="1" s="1"/>
  <c r="J272" i="1" s="1"/>
  <c r="J301" i="1" s="1"/>
  <c r="J330" i="1" s="1"/>
  <c r="U11" i="2"/>
  <c r="J20" i="1"/>
  <c r="J49" i="1" s="1"/>
  <c r="J78" i="1" s="1"/>
  <c r="J107" i="1" s="1"/>
  <c r="J136" i="1" s="1"/>
  <c r="J165" i="1" s="1"/>
  <c r="J194" i="1" s="1"/>
  <c r="J223" i="1" s="1"/>
  <c r="J252" i="1" s="1"/>
  <c r="J281" i="1" s="1"/>
  <c r="J310" i="1" s="1"/>
  <c r="J339" i="1" s="1"/>
  <c r="U10" i="4"/>
  <c r="J17" i="1"/>
  <c r="J46" i="1" s="1"/>
  <c r="J75" i="1" s="1"/>
  <c r="J104" i="1" s="1"/>
  <c r="J133" i="1" s="1"/>
  <c r="J162" i="1" s="1"/>
  <c r="J191" i="1" s="1"/>
  <c r="J220" i="1" s="1"/>
  <c r="J249" i="1" s="1"/>
  <c r="J278" i="1" s="1"/>
  <c r="J307" i="1" s="1"/>
  <c r="J336" i="1" s="1"/>
  <c r="U7" i="4"/>
  <c r="J15" i="1"/>
  <c r="J44" i="1" s="1"/>
  <c r="J73" i="1" s="1"/>
  <c r="J102" i="1" s="1"/>
  <c r="J131" i="1" s="1"/>
  <c r="J160" i="1" s="1"/>
  <c r="J189" i="1" s="1"/>
  <c r="J218" i="1" s="1"/>
  <c r="J247" i="1" s="1"/>
  <c r="J276" i="1" s="1"/>
  <c r="J305" i="1" s="1"/>
  <c r="J334" i="1" s="1"/>
  <c r="U5" i="4"/>
  <c r="J10" i="1"/>
  <c r="J39" i="1" s="1"/>
  <c r="J68" i="1" s="1"/>
  <c r="J97" i="1" s="1"/>
  <c r="J126" i="1" s="1"/>
  <c r="J155" i="1" s="1"/>
  <c r="J184" i="1" s="1"/>
  <c r="J213" i="1" s="1"/>
  <c r="J242" i="1" s="1"/>
  <c r="J271" i="1" s="1"/>
  <c r="J300" i="1" s="1"/>
  <c r="J329" i="1" s="1"/>
  <c r="U10" i="2"/>
  <c r="J16" i="1"/>
  <c r="J45" i="1" s="1"/>
  <c r="J74" i="1" s="1"/>
  <c r="J103" i="1" s="1"/>
  <c r="J132" i="1" s="1"/>
  <c r="J161" i="1" s="1"/>
  <c r="J190" i="1" s="1"/>
  <c r="J219" i="1" s="1"/>
  <c r="J248" i="1" s="1"/>
  <c r="J277" i="1" s="1"/>
  <c r="J306" i="1" s="1"/>
  <c r="J335" i="1" s="1"/>
  <c r="U6" i="4"/>
  <c r="J7" i="1"/>
  <c r="J36" i="1" s="1"/>
  <c r="U7" i="2"/>
  <c r="U12" i="2"/>
  <c r="J12" i="1"/>
  <c r="J41" i="1" s="1"/>
  <c r="J70" i="1" s="1"/>
  <c r="J6" i="1"/>
  <c r="J35" i="1" s="1"/>
  <c r="J64" i="1" s="1"/>
  <c r="J93" i="1" s="1"/>
  <c r="J122" i="1" s="1"/>
  <c r="J151" i="1" s="1"/>
  <c r="J180" i="1" s="1"/>
  <c r="J209" i="1" s="1"/>
  <c r="J238" i="1" s="1"/>
  <c r="J267" i="1" s="1"/>
  <c r="J296" i="1" s="1"/>
  <c r="J325" i="1" s="1"/>
  <c r="J3" i="2"/>
  <c r="U6" i="2"/>
  <c r="V23" i="1"/>
  <c r="U169" i="1" l="1"/>
  <c r="J37" i="4"/>
  <c r="V141" i="1"/>
  <c r="S92" i="1"/>
  <c r="X53" i="2"/>
  <c r="Y53" i="2"/>
  <c r="V53" i="2"/>
  <c r="S73" i="1"/>
  <c r="S37" i="4"/>
  <c r="S35" i="4" s="1"/>
  <c r="X39" i="4"/>
  <c r="Y39" i="4"/>
  <c r="V39" i="4"/>
  <c r="S83" i="1"/>
  <c r="X49" i="4"/>
  <c r="Y49" i="4"/>
  <c r="V49" i="4"/>
  <c r="S161" i="1"/>
  <c r="X91" i="4"/>
  <c r="X161" i="1" s="1"/>
  <c r="Y91" i="4"/>
  <c r="Y161" i="1" s="1"/>
  <c r="V91" i="4"/>
  <c r="V161" i="1" s="1"/>
  <c r="H182" i="4"/>
  <c r="E182" i="4"/>
  <c r="G182" i="4"/>
  <c r="S182" i="4" s="1"/>
  <c r="F182" i="4"/>
  <c r="D182" i="4"/>
  <c r="C199" i="4"/>
  <c r="J182" i="4"/>
  <c r="U182" i="4" s="1"/>
  <c r="X142" i="1"/>
  <c r="X35" i="5"/>
  <c r="G63" i="4"/>
  <c r="S63" i="4" s="1"/>
  <c r="E63" i="4"/>
  <c r="D63" i="4"/>
  <c r="H63" i="4"/>
  <c r="F63" i="4"/>
  <c r="J63" i="4"/>
  <c r="U63" i="4" s="1"/>
  <c r="G129" i="11"/>
  <c r="S100" i="11"/>
  <c r="C88" i="2"/>
  <c r="E72" i="2"/>
  <c r="D72" i="2"/>
  <c r="F72" i="2"/>
  <c r="G72" i="2"/>
  <c r="S72" i="2" s="1"/>
  <c r="H72" i="2"/>
  <c r="J72" i="2"/>
  <c r="U72" i="2" s="1"/>
  <c r="S101" i="1"/>
  <c r="X62" i="2"/>
  <c r="X101" i="1" s="1"/>
  <c r="Y62" i="2"/>
  <c r="Y101" i="1" s="1"/>
  <c r="V62" i="2"/>
  <c r="V101" i="1" s="1"/>
  <c r="D75" i="2"/>
  <c r="C91" i="2"/>
  <c r="H75" i="2"/>
  <c r="F75" i="2"/>
  <c r="E75" i="2"/>
  <c r="G75" i="2"/>
  <c r="S75" i="2" s="1"/>
  <c r="J75" i="2"/>
  <c r="U75" i="2" s="1"/>
  <c r="G131" i="11"/>
  <c r="S102" i="11"/>
  <c r="S286" i="1"/>
  <c r="X168" i="4"/>
  <c r="X286" i="1" s="1"/>
  <c r="Y168" i="4"/>
  <c r="Y286" i="1" s="1"/>
  <c r="V168" i="4"/>
  <c r="V286" i="1" s="1"/>
  <c r="S284" i="1"/>
  <c r="X166" i="4"/>
  <c r="X284" i="1" s="1"/>
  <c r="Y166" i="4"/>
  <c r="Y284" i="1" s="1"/>
  <c r="V166" i="4"/>
  <c r="V284" i="1" s="1"/>
  <c r="D184" i="4"/>
  <c r="C201" i="4"/>
  <c r="G184" i="4"/>
  <c r="S184" i="4" s="1"/>
  <c r="E184" i="4"/>
  <c r="H184" i="4"/>
  <c r="F184" i="4"/>
  <c r="J184" i="4"/>
  <c r="U184" i="4" s="1"/>
  <c r="F108" i="4"/>
  <c r="H108" i="4"/>
  <c r="G108" i="4"/>
  <c r="S108" i="4" s="1"/>
  <c r="D108" i="4"/>
  <c r="C125" i="4"/>
  <c r="E108" i="4"/>
  <c r="J108" i="4"/>
  <c r="U108" i="4" s="1"/>
  <c r="S82" i="1"/>
  <c r="X48" i="4"/>
  <c r="Y48" i="4"/>
  <c r="V48" i="4"/>
  <c r="H60" i="2"/>
  <c r="C76" i="2"/>
  <c r="E60" i="2"/>
  <c r="F60" i="2"/>
  <c r="D60" i="2"/>
  <c r="G60" i="2"/>
  <c r="S60" i="2" s="1"/>
  <c r="J60" i="2"/>
  <c r="F115" i="4"/>
  <c r="C132" i="4"/>
  <c r="H115" i="4"/>
  <c r="E115" i="4"/>
  <c r="D115" i="4"/>
  <c r="G115" i="4"/>
  <c r="S115" i="4" s="1"/>
  <c r="J115" i="4"/>
  <c r="U115" i="4" s="1"/>
  <c r="S288" i="1"/>
  <c r="X78" i="5"/>
  <c r="X288" i="1" s="1"/>
  <c r="Y78" i="5"/>
  <c r="Y288" i="1" s="1"/>
  <c r="V78" i="5"/>
  <c r="V288" i="1" s="1"/>
  <c r="X75" i="11"/>
  <c r="Y75" i="11"/>
  <c r="V75" i="11"/>
  <c r="X237" i="11"/>
  <c r="Y237" i="11"/>
  <c r="V237" i="11"/>
  <c r="E113" i="4"/>
  <c r="D113" i="4"/>
  <c r="C130" i="4"/>
  <c r="H113" i="4"/>
  <c r="G113" i="4"/>
  <c r="S113" i="4" s="1"/>
  <c r="F113" i="4"/>
  <c r="J113" i="4"/>
  <c r="U113" i="4" s="1"/>
  <c r="S98" i="1"/>
  <c r="X59" i="2"/>
  <c r="X98" i="1" s="1"/>
  <c r="Y59" i="2"/>
  <c r="Y98" i="1" s="1"/>
  <c r="V59" i="2"/>
  <c r="V98" i="1" s="1"/>
  <c r="H73" i="2"/>
  <c r="C89" i="2"/>
  <c r="D73" i="2"/>
  <c r="G73" i="2"/>
  <c r="S73" i="2" s="1"/>
  <c r="E73" i="2"/>
  <c r="F73" i="2"/>
  <c r="J73" i="2"/>
  <c r="U73" i="2" s="1"/>
  <c r="S278" i="1"/>
  <c r="X160" i="4"/>
  <c r="X278" i="1" s="1"/>
  <c r="Y160" i="4"/>
  <c r="Y278" i="1" s="1"/>
  <c r="V160" i="4"/>
  <c r="V278" i="1" s="1"/>
  <c r="U167" i="1"/>
  <c r="I115" i="4"/>
  <c r="T115" i="4" s="1"/>
  <c r="G133" i="11"/>
  <c r="S104" i="11"/>
  <c r="G295" i="11"/>
  <c r="S266" i="11"/>
  <c r="X85" i="11"/>
  <c r="Y85" i="11"/>
  <c r="V85" i="11"/>
  <c r="X77" i="11"/>
  <c r="Y77" i="11"/>
  <c r="V77" i="11"/>
  <c r="G61" i="4"/>
  <c r="S61" i="4" s="1"/>
  <c r="H61" i="4"/>
  <c r="F61" i="4"/>
  <c r="D61" i="4"/>
  <c r="E61" i="4"/>
  <c r="J61" i="4"/>
  <c r="U61" i="4" s="1"/>
  <c r="Y247" i="1"/>
  <c r="Y139" i="4"/>
  <c r="Y19" i="5"/>
  <c r="Y19" i="2"/>
  <c r="X71" i="11"/>
  <c r="Y71" i="11"/>
  <c r="V71" i="11"/>
  <c r="G137" i="11"/>
  <c r="S108" i="11"/>
  <c r="S166" i="1"/>
  <c r="X96" i="4"/>
  <c r="X166" i="1" s="1"/>
  <c r="Y96" i="4"/>
  <c r="Y166" i="1" s="1"/>
  <c r="V96" i="4"/>
  <c r="V166" i="1" s="1"/>
  <c r="F183" i="4"/>
  <c r="E183" i="4"/>
  <c r="D183" i="4"/>
  <c r="C200" i="4"/>
  <c r="H183" i="4"/>
  <c r="G183" i="4"/>
  <c r="S183" i="4" s="1"/>
  <c r="J183" i="4"/>
  <c r="U183" i="4" s="1"/>
  <c r="S285" i="1"/>
  <c r="X167" i="4"/>
  <c r="X285" i="1" s="1"/>
  <c r="Y167" i="4"/>
  <c r="Y285" i="1" s="1"/>
  <c r="V167" i="4"/>
  <c r="V285" i="1" s="1"/>
  <c r="S75" i="1"/>
  <c r="X41" i="4"/>
  <c r="Y41" i="4"/>
  <c r="V41" i="4"/>
  <c r="D78" i="2"/>
  <c r="G78" i="2"/>
  <c r="S78" i="2" s="1"/>
  <c r="C94" i="2"/>
  <c r="F78" i="2"/>
  <c r="E78" i="2"/>
  <c r="H78" i="2"/>
  <c r="J78" i="2"/>
  <c r="U78" i="2" s="1"/>
  <c r="X83" i="11"/>
  <c r="Y83" i="11"/>
  <c r="V83" i="11"/>
  <c r="C85" i="2"/>
  <c r="E69" i="2"/>
  <c r="H69" i="2"/>
  <c r="F69" i="2"/>
  <c r="G69" i="2"/>
  <c r="S69" i="2" s="1"/>
  <c r="D69" i="2"/>
  <c r="J69" i="2"/>
  <c r="X82" i="11"/>
  <c r="Y82" i="11"/>
  <c r="V82" i="11"/>
  <c r="S277" i="1"/>
  <c r="X159" i="4"/>
  <c r="X277" i="1" s="1"/>
  <c r="Y159" i="4"/>
  <c r="Y277" i="1" s="1"/>
  <c r="V159" i="4"/>
  <c r="V277" i="1" s="1"/>
  <c r="X66" i="11"/>
  <c r="Y66" i="11"/>
  <c r="V66" i="11"/>
  <c r="Y20" i="4"/>
  <c r="Y44" i="1"/>
  <c r="Y73" i="1" s="1"/>
  <c r="X70" i="11"/>
  <c r="Y70" i="11"/>
  <c r="V70" i="11"/>
  <c r="G143" i="11"/>
  <c r="S114" i="11"/>
  <c r="G135" i="11"/>
  <c r="S106" i="11"/>
  <c r="S276" i="1"/>
  <c r="S156" i="4"/>
  <c r="S154" i="4" s="1"/>
  <c r="X158" i="4"/>
  <c r="Y158" i="4"/>
  <c r="V158" i="4"/>
  <c r="E111" i="4"/>
  <c r="D111" i="4"/>
  <c r="G111" i="4"/>
  <c r="S111" i="4" s="1"/>
  <c r="F111" i="4"/>
  <c r="H111" i="4"/>
  <c r="C128" i="4"/>
  <c r="J111" i="4"/>
  <c r="U111" i="4" s="1"/>
  <c r="G179" i="4"/>
  <c r="S179" i="4" s="1"/>
  <c r="F179" i="4"/>
  <c r="E179" i="4"/>
  <c r="D179" i="4"/>
  <c r="C196" i="4"/>
  <c r="H179" i="4"/>
  <c r="J179" i="4"/>
  <c r="U179" i="4" s="1"/>
  <c r="F58" i="4"/>
  <c r="E58" i="4"/>
  <c r="D58" i="4"/>
  <c r="H58" i="4"/>
  <c r="G58" i="4"/>
  <c r="S58" i="4" s="1"/>
  <c r="J58" i="4"/>
  <c r="U58" i="4" s="1"/>
  <c r="X139" i="4"/>
  <c r="X247" i="1"/>
  <c r="X19" i="5"/>
  <c r="S169" i="1"/>
  <c r="X99" i="4"/>
  <c r="X169" i="1" s="1"/>
  <c r="Y99" i="4"/>
  <c r="Y169" i="1" s="1"/>
  <c r="V99" i="4"/>
  <c r="V169" i="1" s="1"/>
  <c r="S168" i="1"/>
  <c r="X98" i="4"/>
  <c r="X168" i="1" s="1"/>
  <c r="Y98" i="4"/>
  <c r="Y168" i="1" s="1"/>
  <c r="V98" i="4"/>
  <c r="V168" i="1" s="1"/>
  <c r="S113" i="1"/>
  <c r="S27" i="5"/>
  <c r="S25" i="5" s="1"/>
  <c r="X29" i="5"/>
  <c r="Y29" i="5"/>
  <c r="V29" i="5"/>
  <c r="Y63" i="1"/>
  <c r="Y142" i="1"/>
  <c r="Y35" i="5"/>
  <c r="X73" i="11"/>
  <c r="Y73" i="11"/>
  <c r="V73" i="11"/>
  <c r="I108" i="4"/>
  <c r="T108" i="4" s="1"/>
  <c r="I184" i="4"/>
  <c r="T184" i="4" s="1"/>
  <c r="G141" i="11"/>
  <c r="S112" i="11"/>
  <c r="G140" i="11"/>
  <c r="S111" i="11"/>
  <c r="G124" i="11"/>
  <c r="S95" i="11"/>
  <c r="X44" i="1"/>
  <c r="X73" i="1" s="1"/>
  <c r="X20" i="4"/>
  <c r="S283" i="1"/>
  <c r="X165" i="4"/>
  <c r="X283" i="1" s="1"/>
  <c r="Y165" i="4"/>
  <c r="Y283" i="1" s="1"/>
  <c r="V165" i="4"/>
  <c r="V283" i="1" s="1"/>
  <c r="G128" i="11"/>
  <c r="S99" i="11"/>
  <c r="E110" i="4"/>
  <c r="D110" i="4"/>
  <c r="H110" i="4"/>
  <c r="G110" i="4"/>
  <c r="S110" i="4" s="1"/>
  <c r="F110" i="4"/>
  <c r="C127" i="4"/>
  <c r="J110" i="4"/>
  <c r="U110" i="4" s="1"/>
  <c r="S81" i="1"/>
  <c r="X47" i="4"/>
  <c r="Y47" i="4"/>
  <c r="V47" i="4"/>
  <c r="X84" i="11"/>
  <c r="Y84" i="11"/>
  <c r="V84" i="11"/>
  <c r="G175" i="4"/>
  <c r="S175" i="4" s="1"/>
  <c r="F175" i="4"/>
  <c r="D175" i="4"/>
  <c r="E175" i="4"/>
  <c r="C192" i="4"/>
  <c r="H175" i="4"/>
  <c r="J175" i="4"/>
  <c r="C126" i="4"/>
  <c r="E109" i="4"/>
  <c r="H109" i="4"/>
  <c r="F109" i="4"/>
  <c r="D109" i="4"/>
  <c r="G109" i="4"/>
  <c r="S109" i="4" s="1"/>
  <c r="J109" i="4"/>
  <c r="U109" i="4" s="1"/>
  <c r="Y67" i="5"/>
  <c r="Y258" i="1"/>
  <c r="X81" i="11"/>
  <c r="Y81" i="11"/>
  <c r="V81" i="11"/>
  <c r="X65" i="11"/>
  <c r="Y65" i="11"/>
  <c r="V65" i="11"/>
  <c r="E176" i="4"/>
  <c r="D176" i="4"/>
  <c r="C193" i="4"/>
  <c r="F176" i="4"/>
  <c r="H176" i="4"/>
  <c r="G176" i="4"/>
  <c r="S176" i="4" s="1"/>
  <c r="J176" i="4"/>
  <c r="U176" i="4" s="1"/>
  <c r="S76" i="1"/>
  <c r="X42" i="4"/>
  <c r="Y42" i="4"/>
  <c r="V42" i="4"/>
  <c r="G64" i="4"/>
  <c r="S64" i="4" s="1"/>
  <c r="H64" i="4"/>
  <c r="E64" i="4"/>
  <c r="F64" i="4"/>
  <c r="D64" i="4"/>
  <c r="J64" i="4"/>
  <c r="U64" i="4" s="1"/>
  <c r="G142" i="11"/>
  <c r="S113" i="11"/>
  <c r="X67" i="5"/>
  <c r="X258" i="1"/>
  <c r="G139" i="11"/>
  <c r="S110" i="11"/>
  <c r="J88" i="4"/>
  <c r="S200" i="1"/>
  <c r="S51" i="5"/>
  <c r="S49" i="5" s="1"/>
  <c r="X53" i="5"/>
  <c r="Y53" i="5"/>
  <c r="V53" i="5"/>
  <c r="G123" i="11"/>
  <c r="S94" i="11"/>
  <c r="S201" i="1"/>
  <c r="X54" i="5"/>
  <c r="X201" i="1" s="1"/>
  <c r="Y54" i="5"/>
  <c r="Y201" i="1" s="1"/>
  <c r="V54" i="5"/>
  <c r="V201" i="1" s="1"/>
  <c r="G59" i="4"/>
  <c r="S59" i="4" s="1"/>
  <c r="E59" i="4"/>
  <c r="H59" i="4"/>
  <c r="D59" i="4"/>
  <c r="F59" i="4"/>
  <c r="J59" i="4"/>
  <c r="U59" i="4" s="1"/>
  <c r="S171" i="1"/>
  <c r="S43" i="5"/>
  <c r="S41" i="5" s="1"/>
  <c r="X45" i="5"/>
  <c r="Y45" i="5"/>
  <c r="V45" i="5"/>
  <c r="S164" i="1"/>
  <c r="X94" i="4"/>
  <c r="X164" i="1" s="1"/>
  <c r="Y94" i="4"/>
  <c r="Y164" i="1" s="1"/>
  <c r="V94" i="4"/>
  <c r="V164" i="1" s="1"/>
  <c r="S78" i="1"/>
  <c r="X44" i="4"/>
  <c r="Y44" i="4"/>
  <c r="V44" i="4"/>
  <c r="X80" i="11"/>
  <c r="Y80" i="11"/>
  <c r="V80" i="11"/>
  <c r="S287" i="1"/>
  <c r="S75" i="5"/>
  <c r="S73" i="5" s="1"/>
  <c r="X77" i="5"/>
  <c r="Y77" i="5"/>
  <c r="V77" i="5"/>
  <c r="X68" i="11"/>
  <c r="Y68" i="11"/>
  <c r="V68" i="11"/>
  <c r="H116" i="4"/>
  <c r="E116" i="4"/>
  <c r="C133" i="4"/>
  <c r="F116" i="4"/>
  <c r="D116" i="4"/>
  <c r="G116" i="4"/>
  <c r="S116" i="4" s="1"/>
  <c r="J116" i="4"/>
  <c r="U116" i="4" s="1"/>
  <c r="S172" i="1"/>
  <c r="X46" i="5"/>
  <c r="X172" i="1" s="1"/>
  <c r="Y46" i="5"/>
  <c r="Y172" i="1" s="1"/>
  <c r="V46" i="5"/>
  <c r="V172" i="1" s="1"/>
  <c r="H62" i="5"/>
  <c r="E62" i="5"/>
  <c r="G62" i="5"/>
  <c r="S62" i="5" s="1"/>
  <c r="F62" i="5"/>
  <c r="D62" i="5"/>
  <c r="J62" i="5"/>
  <c r="U62" i="5" s="1"/>
  <c r="X78" i="11"/>
  <c r="Y78" i="11"/>
  <c r="V78" i="11"/>
  <c r="G64" i="11"/>
  <c r="S35" i="11"/>
  <c r="S280" i="1"/>
  <c r="X162" i="4"/>
  <c r="X280" i="1" s="1"/>
  <c r="Y162" i="4"/>
  <c r="Y280" i="1" s="1"/>
  <c r="V162" i="4"/>
  <c r="V280" i="1" s="1"/>
  <c r="G138" i="11"/>
  <c r="S109" i="11"/>
  <c r="S32" i="1"/>
  <c r="S30" i="1" s="1"/>
  <c r="G126" i="11"/>
  <c r="S97" i="11"/>
  <c r="G136" i="11"/>
  <c r="S107" i="11"/>
  <c r="S163" i="1"/>
  <c r="X93" i="4"/>
  <c r="X163" i="1" s="1"/>
  <c r="Y93" i="4"/>
  <c r="Y163" i="1" s="1"/>
  <c r="V93" i="4"/>
  <c r="V163" i="1" s="1"/>
  <c r="S316" i="1"/>
  <c r="S83" i="5"/>
  <c r="S81" i="5" s="1"/>
  <c r="X85" i="5"/>
  <c r="Y85" i="5"/>
  <c r="V85" i="5"/>
  <c r="S71" i="1"/>
  <c r="X45" i="2"/>
  <c r="Y45" i="2"/>
  <c r="V45" i="2"/>
  <c r="X6" i="11"/>
  <c r="Y6" i="11"/>
  <c r="V6" i="11"/>
  <c r="S162" i="1"/>
  <c r="X92" i="4"/>
  <c r="X162" i="1" s="1"/>
  <c r="Y92" i="4"/>
  <c r="Y162" i="1" s="1"/>
  <c r="V92" i="4"/>
  <c r="V162" i="1" s="1"/>
  <c r="H114" i="4"/>
  <c r="G114" i="4"/>
  <c r="S114" i="4" s="1"/>
  <c r="E114" i="4"/>
  <c r="F114" i="4"/>
  <c r="C131" i="4"/>
  <c r="D114" i="4"/>
  <c r="J114" i="4"/>
  <c r="U114" i="4" s="1"/>
  <c r="S282" i="1"/>
  <c r="X164" i="4"/>
  <c r="X282" i="1" s="1"/>
  <c r="Y164" i="4"/>
  <c r="Y282" i="1" s="1"/>
  <c r="V164" i="4"/>
  <c r="V282" i="1" s="1"/>
  <c r="S160" i="1"/>
  <c r="S88" i="4"/>
  <c r="S86" i="4" s="1"/>
  <c r="X90" i="4"/>
  <c r="Y90" i="4"/>
  <c r="V90" i="4"/>
  <c r="S93" i="1"/>
  <c r="X54" i="2"/>
  <c r="X93" i="1" s="1"/>
  <c r="Y54" i="2"/>
  <c r="Y93" i="1" s="1"/>
  <c r="V54" i="2"/>
  <c r="V93" i="1" s="1"/>
  <c r="I73" i="2"/>
  <c r="T73" i="2" s="1"/>
  <c r="F61" i="5"/>
  <c r="E61" i="5"/>
  <c r="D61" i="5"/>
  <c r="G61" i="5"/>
  <c r="S61" i="5" s="1"/>
  <c r="H61" i="5"/>
  <c r="J61" i="5"/>
  <c r="E57" i="4"/>
  <c r="D57" i="4"/>
  <c r="G57" i="4"/>
  <c r="S57" i="4" s="1"/>
  <c r="F57" i="4"/>
  <c r="H57" i="4"/>
  <c r="J57" i="4"/>
  <c r="U57" i="4" s="1"/>
  <c r="S97" i="1"/>
  <c r="X58" i="2"/>
  <c r="X97" i="1" s="1"/>
  <c r="Y58" i="2"/>
  <c r="Y97" i="1" s="1"/>
  <c r="V58" i="2"/>
  <c r="V97" i="1" s="1"/>
  <c r="X74" i="11"/>
  <c r="Y74" i="11"/>
  <c r="V74" i="11"/>
  <c r="X72" i="11"/>
  <c r="Y72" i="11"/>
  <c r="V72" i="11"/>
  <c r="S170" i="1"/>
  <c r="X100" i="4"/>
  <c r="X170" i="1" s="1"/>
  <c r="Y100" i="4"/>
  <c r="Y170" i="1" s="1"/>
  <c r="V100" i="4"/>
  <c r="V170" i="1" s="1"/>
  <c r="X76" i="11"/>
  <c r="Y76" i="11"/>
  <c r="V76" i="11"/>
  <c r="S165" i="1"/>
  <c r="X95" i="4"/>
  <c r="X165" i="1" s="1"/>
  <c r="Y95" i="4"/>
  <c r="Y165" i="1" s="1"/>
  <c r="V95" i="4"/>
  <c r="V165" i="1" s="1"/>
  <c r="S114" i="1"/>
  <c r="X30" i="5"/>
  <c r="X114" i="1" s="1"/>
  <c r="Y30" i="5"/>
  <c r="Y114" i="1" s="1"/>
  <c r="V30" i="5"/>
  <c r="V114" i="1" s="1"/>
  <c r="G65" i="4"/>
  <c r="S65" i="4" s="1"/>
  <c r="H65" i="4"/>
  <c r="D65" i="4"/>
  <c r="F65" i="4"/>
  <c r="E65" i="4"/>
  <c r="J65" i="4"/>
  <c r="U65" i="4" s="1"/>
  <c r="X35" i="2"/>
  <c r="F74" i="2"/>
  <c r="C90" i="2"/>
  <c r="H74" i="2"/>
  <c r="G74" i="2"/>
  <c r="S74" i="2" s="1"/>
  <c r="E74" i="2"/>
  <c r="D74" i="2"/>
  <c r="J74" i="2"/>
  <c r="U74" i="2" s="1"/>
  <c r="H93" i="5"/>
  <c r="F93" i="5"/>
  <c r="E93" i="5"/>
  <c r="D93" i="5"/>
  <c r="G93" i="5"/>
  <c r="S93" i="5" s="1"/>
  <c r="J93" i="5"/>
  <c r="F61" i="2"/>
  <c r="C77" i="2"/>
  <c r="H61" i="2"/>
  <c r="G61" i="2"/>
  <c r="S61" i="2" s="1"/>
  <c r="D61" i="2"/>
  <c r="E61" i="2"/>
  <c r="J61" i="2"/>
  <c r="U61" i="2" s="1"/>
  <c r="G132" i="11"/>
  <c r="S103" i="11"/>
  <c r="G130" i="11"/>
  <c r="S101" i="11"/>
  <c r="S94" i="1"/>
  <c r="X55" i="2"/>
  <c r="X94" i="1" s="1"/>
  <c r="Y55" i="2"/>
  <c r="Y94" i="1" s="1"/>
  <c r="V55" i="2"/>
  <c r="V94" i="1" s="1"/>
  <c r="E181" i="4"/>
  <c r="G181" i="4"/>
  <c r="S181" i="4" s="1"/>
  <c r="F181" i="4"/>
  <c r="C198" i="4"/>
  <c r="H181" i="4"/>
  <c r="D181" i="4"/>
  <c r="J181" i="4"/>
  <c r="U181" i="4" s="1"/>
  <c r="G134" i="11"/>
  <c r="S105" i="11"/>
  <c r="F70" i="2"/>
  <c r="G70" i="2"/>
  <c r="S70" i="2" s="1"/>
  <c r="E70" i="2"/>
  <c r="C86" i="2"/>
  <c r="H70" i="2"/>
  <c r="D70" i="2"/>
  <c r="J70" i="2"/>
  <c r="U70" i="2" s="1"/>
  <c r="S317" i="1"/>
  <c r="X86" i="5"/>
  <c r="X317" i="1" s="1"/>
  <c r="Y86" i="5"/>
  <c r="Y317" i="1" s="1"/>
  <c r="V86" i="5"/>
  <c r="V317" i="1" s="1"/>
  <c r="D62" i="4"/>
  <c r="E62" i="4"/>
  <c r="G62" i="4"/>
  <c r="S62" i="4" s="1"/>
  <c r="H62" i="4"/>
  <c r="F62" i="4"/>
  <c r="J62" i="4"/>
  <c r="U62" i="4" s="1"/>
  <c r="S281" i="1"/>
  <c r="X163" i="4"/>
  <c r="X281" i="1" s="1"/>
  <c r="Y163" i="4"/>
  <c r="Y281" i="1" s="1"/>
  <c r="V163" i="4"/>
  <c r="V281" i="1" s="1"/>
  <c r="H185" i="4"/>
  <c r="G185" i="4"/>
  <c r="S185" i="4" s="1"/>
  <c r="C202" i="4"/>
  <c r="D185" i="4"/>
  <c r="F185" i="4"/>
  <c r="E185" i="4"/>
  <c r="J185" i="4"/>
  <c r="U185" i="4" s="1"/>
  <c r="S279" i="1"/>
  <c r="X161" i="4"/>
  <c r="X279" i="1" s="1"/>
  <c r="Y161" i="4"/>
  <c r="Y279" i="1" s="1"/>
  <c r="V161" i="4"/>
  <c r="V279" i="1" s="1"/>
  <c r="X67" i="11"/>
  <c r="Y67" i="11"/>
  <c r="V67" i="11"/>
  <c r="S95" i="1"/>
  <c r="X56" i="2"/>
  <c r="X95" i="1" s="1"/>
  <c r="Y56" i="2"/>
  <c r="Y95" i="1" s="1"/>
  <c r="V56" i="2"/>
  <c r="V95" i="1" s="1"/>
  <c r="C134" i="4"/>
  <c r="E117" i="4"/>
  <c r="F117" i="4"/>
  <c r="H117" i="4"/>
  <c r="G117" i="4"/>
  <c r="S117" i="4" s="1"/>
  <c r="D117" i="4"/>
  <c r="J117" i="4"/>
  <c r="U117" i="4" s="1"/>
  <c r="Y131" i="1"/>
  <c r="Y71" i="4"/>
  <c r="D71" i="2"/>
  <c r="C87" i="2"/>
  <c r="G71" i="2"/>
  <c r="S71" i="2" s="1"/>
  <c r="F71" i="2"/>
  <c r="E71" i="2"/>
  <c r="H71" i="2"/>
  <c r="J71" i="2"/>
  <c r="U71" i="2" s="1"/>
  <c r="X19" i="2"/>
  <c r="C124" i="4"/>
  <c r="H107" i="4"/>
  <c r="G107" i="4"/>
  <c r="S107" i="4" s="1"/>
  <c r="F107" i="4"/>
  <c r="D107" i="4"/>
  <c r="E107" i="4"/>
  <c r="J107" i="4"/>
  <c r="I60" i="2"/>
  <c r="T60" i="2" s="1"/>
  <c r="H94" i="5"/>
  <c r="E94" i="5"/>
  <c r="F94" i="5"/>
  <c r="D94" i="5"/>
  <c r="G94" i="5"/>
  <c r="S94" i="5" s="1"/>
  <c r="J94" i="5"/>
  <c r="U94" i="5" s="1"/>
  <c r="E178" i="4"/>
  <c r="D178" i="4"/>
  <c r="H178" i="4"/>
  <c r="G178" i="4"/>
  <c r="S178" i="4" s="1"/>
  <c r="F178" i="4"/>
  <c r="C195" i="4"/>
  <c r="J178" i="4"/>
  <c r="U178" i="4" s="1"/>
  <c r="D66" i="4"/>
  <c r="E66" i="4"/>
  <c r="H66" i="4"/>
  <c r="F66" i="4"/>
  <c r="G66" i="4"/>
  <c r="S66" i="4" s="1"/>
  <c r="J66" i="4"/>
  <c r="U66" i="4" s="1"/>
  <c r="G125" i="11"/>
  <c r="S96" i="11"/>
  <c r="S96" i="1"/>
  <c r="X57" i="2"/>
  <c r="X96" i="1" s="1"/>
  <c r="Y57" i="2"/>
  <c r="Y96" i="1" s="1"/>
  <c r="V57" i="2"/>
  <c r="V96" i="1" s="1"/>
  <c r="Y11" i="5"/>
  <c r="Y55" i="1"/>
  <c r="Y84" i="1" s="1"/>
  <c r="X131" i="1"/>
  <c r="X71" i="4"/>
  <c r="S167" i="1"/>
  <c r="X97" i="4"/>
  <c r="X167" i="1" s="1"/>
  <c r="Y97" i="4"/>
  <c r="Y167" i="1" s="1"/>
  <c r="V97" i="4"/>
  <c r="V167" i="1" s="1"/>
  <c r="X63" i="1"/>
  <c r="S79" i="1"/>
  <c r="X45" i="4"/>
  <c r="Y45" i="4"/>
  <c r="V45" i="4"/>
  <c r="S74" i="1"/>
  <c r="X40" i="4"/>
  <c r="Y40" i="4"/>
  <c r="V40" i="4"/>
  <c r="X69" i="11"/>
  <c r="Y69" i="11"/>
  <c r="V69" i="11"/>
  <c r="X55" i="1"/>
  <c r="X84" i="1" s="1"/>
  <c r="X11" i="5"/>
  <c r="H60" i="4"/>
  <c r="F60" i="4"/>
  <c r="E60" i="4"/>
  <c r="D60" i="4"/>
  <c r="G60" i="4"/>
  <c r="S60" i="4" s="1"/>
  <c r="J60" i="4"/>
  <c r="U60" i="4" s="1"/>
  <c r="E112" i="4"/>
  <c r="D112" i="4"/>
  <c r="G112" i="4"/>
  <c r="S112" i="4" s="1"/>
  <c r="F112" i="4"/>
  <c r="C129" i="4"/>
  <c r="H112" i="4"/>
  <c r="J112" i="4"/>
  <c r="U112" i="4" s="1"/>
  <c r="D180" i="4"/>
  <c r="F180" i="4"/>
  <c r="C197" i="4"/>
  <c r="H180" i="4"/>
  <c r="G180" i="4"/>
  <c r="S180" i="4" s="1"/>
  <c r="E180" i="4"/>
  <c r="J180" i="4"/>
  <c r="U180" i="4" s="1"/>
  <c r="H56" i="4"/>
  <c r="G56" i="4"/>
  <c r="S56" i="4" s="1"/>
  <c r="D56" i="4"/>
  <c r="F56" i="4"/>
  <c r="E56" i="4"/>
  <c r="J56" i="4"/>
  <c r="S80" i="1"/>
  <c r="X46" i="4"/>
  <c r="Y46" i="4"/>
  <c r="V46" i="4"/>
  <c r="G127" i="11"/>
  <c r="S98" i="11"/>
  <c r="S70" i="1"/>
  <c r="X44" i="2"/>
  <c r="Y44" i="2"/>
  <c r="Y35" i="2" s="1"/>
  <c r="V44" i="2"/>
  <c r="F177" i="4"/>
  <c r="E177" i="4"/>
  <c r="D177" i="4"/>
  <c r="C194" i="4"/>
  <c r="G177" i="4"/>
  <c r="S177" i="4" s="1"/>
  <c r="H177" i="4"/>
  <c r="J177" i="4"/>
  <c r="U177" i="4" s="1"/>
  <c r="S77" i="1"/>
  <c r="X43" i="4"/>
  <c r="Y43" i="4"/>
  <c r="V43" i="4"/>
  <c r="X79" i="11"/>
  <c r="Y79" i="11"/>
  <c r="V79" i="11"/>
  <c r="U27" i="1"/>
  <c r="J77" i="11"/>
  <c r="U48" i="11"/>
  <c r="W48" i="11" s="1"/>
  <c r="J65" i="11"/>
  <c r="U36" i="11"/>
  <c r="W36" i="11" s="1"/>
  <c r="J78" i="11"/>
  <c r="U49" i="11"/>
  <c r="W49" i="11" s="1"/>
  <c r="J83" i="11"/>
  <c r="U54" i="11"/>
  <c r="W54" i="11" s="1"/>
  <c r="J79" i="11"/>
  <c r="U50" i="11"/>
  <c r="W50" i="11" s="1"/>
  <c r="J85" i="11"/>
  <c r="U56" i="11"/>
  <c r="W56" i="11" s="1"/>
  <c r="J84" i="11"/>
  <c r="U55" i="11"/>
  <c r="W55" i="11" s="1"/>
  <c r="T5" i="11"/>
  <c r="AA5" i="11" s="1"/>
  <c r="I34" i="11"/>
  <c r="J73" i="11"/>
  <c r="U44" i="11"/>
  <c r="W44" i="11" s="1"/>
  <c r="J80" i="11"/>
  <c r="U51" i="11"/>
  <c r="W51" i="11" s="1"/>
  <c r="J71" i="11"/>
  <c r="U42" i="11"/>
  <c r="W42" i="11" s="1"/>
  <c r="J74" i="11"/>
  <c r="U45" i="11"/>
  <c r="W45" i="11" s="1"/>
  <c r="J67" i="11"/>
  <c r="U38" i="11"/>
  <c r="W38" i="11" s="1"/>
  <c r="J63" i="11"/>
  <c r="U34" i="11"/>
  <c r="J32" i="11"/>
  <c r="J76" i="11"/>
  <c r="U47" i="11"/>
  <c r="W47" i="11" s="1"/>
  <c r="J68" i="11"/>
  <c r="U39" i="11"/>
  <c r="W39" i="11" s="1"/>
  <c r="J82" i="11"/>
  <c r="U53" i="11"/>
  <c r="W53" i="11" s="1"/>
  <c r="J69" i="11"/>
  <c r="U40" i="11"/>
  <c r="W40" i="11" s="1"/>
  <c r="J66" i="11"/>
  <c r="U37" i="11"/>
  <c r="W37" i="11" s="1"/>
  <c r="J70" i="11"/>
  <c r="U41" i="11"/>
  <c r="W41" i="11" s="1"/>
  <c r="J64" i="11"/>
  <c r="U35" i="11"/>
  <c r="W35" i="11" s="1"/>
  <c r="J75" i="11"/>
  <c r="U46" i="11"/>
  <c r="W46" i="11" s="1"/>
  <c r="J81" i="11"/>
  <c r="U52" i="11"/>
  <c r="W52" i="11" s="1"/>
  <c r="J72" i="11"/>
  <c r="U43" i="11"/>
  <c r="W43" i="11" s="1"/>
  <c r="X3" i="5"/>
  <c r="V3" i="5"/>
  <c r="AA78" i="4"/>
  <c r="AA136" i="1" s="1"/>
  <c r="T136" i="1"/>
  <c r="T37" i="5"/>
  <c r="I35" i="5"/>
  <c r="AA168" i="4"/>
  <c r="AA286" i="1" s="1"/>
  <c r="T286" i="1"/>
  <c r="AA147" i="4"/>
  <c r="AA253" i="1" s="1"/>
  <c r="T253" i="1"/>
  <c r="S1" i="2"/>
  <c r="Z10" i="2" s="1"/>
  <c r="Z10" i="1" s="1"/>
  <c r="V78" i="1"/>
  <c r="V64" i="1"/>
  <c r="AA111" i="4"/>
  <c r="AA193" i="1" s="1"/>
  <c r="T193" i="1"/>
  <c r="AA61" i="2"/>
  <c r="AA100" i="1" s="1"/>
  <c r="T100" i="1"/>
  <c r="AA57" i="4"/>
  <c r="AA103" i="1" s="1"/>
  <c r="T103" i="1"/>
  <c r="AA27" i="4"/>
  <c r="AA49" i="1" s="1"/>
  <c r="AA78" i="1" s="1"/>
  <c r="T49" i="1"/>
  <c r="AA93" i="4"/>
  <c r="AA163" i="1" s="1"/>
  <c r="T163" i="1"/>
  <c r="V79" i="1"/>
  <c r="I75" i="5"/>
  <c r="T77" i="5"/>
  <c r="AA167" i="4"/>
  <c r="AA285" i="1" s="1"/>
  <c r="T285" i="1"/>
  <c r="V72" i="1"/>
  <c r="V66" i="1"/>
  <c r="AA41" i="4"/>
  <c r="T75" i="1"/>
  <c r="T158" i="4"/>
  <c r="I156" i="4"/>
  <c r="V83" i="1"/>
  <c r="U160" i="1"/>
  <c r="U88" i="4"/>
  <c r="W90" i="4"/>
  <c r="AA26" i="2"/>
  <c r="AA39" i="1" s="1"/>
  <c r="AA68" i="1" s="1"/>
  <c r="T39" i="1"/>
  <c r="AA97" i="4"/>
  <c r="AA167" i="1" s="1"/>
  <c r="T167" i="1"/>
  <c r="AA117" i="4"/>
  <c r="AA199" i="1" s="1"/>
  <c r="T199" i="1"/>
  <c r="AA62" i="5"/>
  <c r="AA230" i="1" s="1"/>
  <c r="T230" i="1"/>
  <c r="AA38" i="5"/>
  <c r="AA143" i="1" s="1"/>
  <c r="T143" i="1"/>
  <c r="AA113" i="4"/>
  <c r="AA195" i="1" s="1"/>
  <c r="T195" i="1"/>
  <c r="AA79" i="4"/>
  <c r="AA137" i="1" s="1"/>
  <c r="T137" i="1"/>
  <c r="AA98" i="4"/>
  <c r="AA168" i="1" s="1"/>
  <c r="T168" i="1"/>
  <c r="AA30" i="2"/>
  <c r="AA43" i="1" s="1"/>
  <c r="AA72" i="1" s="1"/>
  <c r="T43" i="1"/>
  <c r="AA43" i="2"/>
  <c r="T69" i="1"/>
  <c r="T90" i="4"/>
  <c r="I88" i="4"/>
  <c r="AA77" i="4"/>
  <c r="AA135" i="1" s="1"/>
  <c r="T135" i="1"/>
  <c r="AA159" i="4"/>
  <c r="AA277" i="1" s="1"/>
  <c r="T277" i="1"/>
  <c r="AA44" i="4"/>
  <c r="T78" i="1"/>
  <c r="AA25" i="4"/>
  <c r="AA47" i="1" s="1"/>
  <c r="AA76" i="1" s="1"/>
  <c r="T47" i="1"/>
  <c r="U200" i="1"/>
  <c r="U51" i="5"/>
  <c r="W53" i="5"/>
  <c r="T61" i="5"/>
  <c r="I59" i="5"/>
  <c r="AA82" i="4"/>
  <c r="AA140" i="1" s="1"/>
  <c r="T140" i="1"/>
  <c r="V70" i="1"/>
  <c r="AA160" i="4"/>
  <c r="AA278" i="1" s="1"/>
  <c r="T278" i="1"/>
  <c r="AA60" i="2"/>
  <c r="AA99" i="1" s="1"/>
  <c r="T99" i="1"/>
  <c r="T22" i="4"/>
  <c r="I20" i="4"/>
  <c r="U276" i="1"/>
  <c r="U156" i="4"/>
  <c r="W158" i="4"/>
  <c r="T37" i="2"/>
  <c r="I35" i="2"/>
  <c r="T21" i="2"/>
  <c r="I19" i="2"/>
  <c r="AA80" i="4"/>
  <c r="AA138" i="1" s="1"/>
  <c r="T138" i="1"/>
  <c r="AA100" i="4"/>
  <c r="AA170" i="1" s="1"/>
  <c r="T170" i="1"/>
  <c r="AA94" i="5"/>
  <c r="AA346" i="1" s="1"/>
  <c r="T346" i="1"/>
  <c r="AA70" i="5"/>
  <c r="AA259" i="1" s="1"/>
  <c r="T259" i="1"/>
  <c r="V65" i="1"/>
  <c r="AA181" i="4"/>
  <c r="AA311" i="1" s="1"/>
  <c r="T311" i="1"/>
  <c r="AA71" i="2"/>
  <c r="AA123" i="1" s="1"/>
  <c r="T123" i="1"/>
  <c r="AA183" i="4"/>
  <c r="AA313" i="1" s="1"/>
  <c r="T313" i="1"/>
  <c r="AA81" i="4"/>
  <c r="AA139" i="1" s="1"/>
  <c r="T139" i="1"/>
  <c r="AA62" i="2"/>
  <c r="AA101" i="1" s="1"/>
  <c r="T101" i="1"/>
  <c r="T93" i="5"/>
  <c r="I91" i="5"/>
  <c r="V68" i="1"/>
  <c r="AA149" i="4"/>
  <c r="AA255" i="1" s="1"/>
  <c r="T255" i="1"/>
  <c r="AA162" i="4"/>
  <c r="AA280" i="1" s="1"/>
  <c r="T280" i="1"/>
  <c r="AA74" i="4"/>
  <c r="AA132" i="1" s="1"/>
  <c r="T132" i="1"/>
  <c r="AA61" i="4"/>
  <c r="AA107" i="1" s="1"/>
  <c r="T107" i="1"/>
  <c r="AA146" i="4"/>
  <c r="AA252" i="1" s="1"/>
  <c r="T252" i="1"/>
  <c r="AA59" i="4"/>
  <c r="AA105" i="1" s="1"/>
  <c r="T105" i="1"/>
  <c r="I19" i="5"/>
  <c r="T21" i="5"/>
  <c r="AA116" i="4"/>
  <c r="AA198" i="1" s="1"/>
  <c r="T198" i="1"/>
  <c r="AA48" i="4"/>
  <c r="T82" i="1"/>
  <c r="U34" i="1"/>
  <c r="W21" i="2"/>
  <c r="U19" i="2"/>
  <c r="V74" i="1"/>
  <c r="AA109" i="4"/>
  <c r="AA191" i="1" s="1"/>
  <c r="T191" i="1"/>
  <c r="AA75" i="4"/>
  <c r="AA133" i="1" s="1"/>
  <c r="T133" i="1"/>
  <c r="T141" i="4"/>
  <c r="I139" i="4"/>
  <c r="T69" i="2"/>
  <c r="AA38" i="2"/>
  <c r="T64" i="1"/>
  <c r="AA182" i="4"/>
  <c r="AA312" i="1" s="1"/>
  <c r="T312" i="1"/>
  <c r="AA46" i="4"/>
  <c r="T80" i="1"/>
  <c r="AA49" i="4"/>
  <c r="T83" i="1"/>
  <c r="AA46" i="5"/>
  <c r="AA172" i="1" s="1"/>
  <c r="T172" i="1"/>
  <c r="AA22" i="5"/>
  <c r="T85" i="1"/>
  <c r="U73" i="1"/>
  <c r="W39" i="4"/>
  <c r="U37" i="4"/>
  <c r="AA24" i="2"/>
  <c r="AA37" i="1" s="1"/>
  <c r="AA66" i="1" s="1"/>
  <c r="T37" i="1"/>
  <c r="AA72" i="2"/>
  <c r="AA124" i="1" s="1"/>
  <c r="T124" i="1"/>
  <c r="AA96" i="4"/>
  <c r="AA166" i="1" s="1"/>
  <c r="T166" i="1"/>
  <c r="AA47" i="4"/>
  <c r="T81" i="1"/>
  <c r="V71" i="1"/>
  <c r="AA58" i="4"/>
  <c r="AA104" i="1" s="1"/>
  <c r="T104" i="1"/>
  <c r="AA63" i="4"/>
  <c r="AA109" i="1" s="1"/>
  <c r="T109" i="1"/>
  <c r="U25" i="1"/>
  <c r="AA94" i="4"/>
  <c r="AA164" i="1" s="1"/>
  <c r="T164" i="1"/>
  <c r="AA45" i="2"/>
  <c r="T71" i="1"/>
  <c r="AA91" i="4"/>
  <c r="AA161" i="1" s="1"/>
  <c r="T161" i="1"/>
  <c r="AA180" i="4"/>
  <c r="AA310" i="1" s="1"/>
  <c r="T310" i="1"/>
  <c r="AA144" i="4"/>
  <c r="AA250" i="1" s="1"/>
  <c r="T250" i="1"/>
  <c r="I51" i="5"/>
  <c r="T53" i="5"/>
  <c r="AA31" i="4"/>
  <c r="AA53" i="1" s="1"/>
  <c r="AA82" i="1" s="1"/>
  <c r="T53" i="1"/>
  <c r="AA143" i="4"/>
  <c r="AA249" i="1" s="1"/>
  <c r="T249" i="1"/>
  <c r="AA44" i="2"/>
  <c r="T70" i="1"/>
  <c r="T107" i="4"/>
  <c r="I105" i="4"/>
  <c r="T39" i="4"/>
  <c r="I37" i="4"/>
  <c r="V84" i="1"/>
  <c r="AA57" i="2"/>
  <c r="AA96" i="1" s="1"/>
  <c r="T96" i="1"/>
  <c r="T53" i="2"/>
  <c r="I51" i="2"/>
  <c r="AA22" i="2"/>
  <c r="AA35" i="1" s="1"/>
  <c r="AA64" i="1" s="1"/>
  <c r="T35" i="1"/>
  <c r="AA58" i="2"/>
  <c r="AA97" i="1" s="1"/>
  <c r="T97" i="1"/>
  <c r="AA114" i="4"/>
  <c r="AA196" i="1" s="1"/>
  <c r="T196" i="1"/>
  <c r="AA32" i="4"/>
  <c r="AA54" i="1" s="1"/>
  <c r="AA83" i="1" s="1"/>
  <c r="T54" i="1"/>
  <c r="AA30" i="5"/>
  <c r="AA114" i="1" s="1"/>
  <c r="T114" i="1"/>
  <c r="U92" i="1"/>
  <c r="W53" i="2"/>
  <c r="AA45" i="4"/>
  <c r="T79" i="1"/>
  <c r="AA23" i="2"/>
  <c r="AA36" i="1" s="1"/>
  <c r="AA65" i="1" s="1"/>
  <c r="T36" i="1"/>
  <c r="AA166" i="4"/>
  <c r="AA284" i="1" s="1"/>
  <c r="T284" i="1"/>
  <c r="U142" i="1"/>
  <c r="U35" i="5"/>
  <c r="W37" i="5"/>
  <c r="AA46" i="2"/>
  <c r="T72" i="1"/>
  <c r="AA75" i="2"/>
  <c r="AA127" i="1" s="1"/>
  <c r="T127" i="1"/>
  <c r="AA60" i="4"/>
  <c r="AA106" i="1" s="1"/>
  <c r="T106" i="1"/>
  <c r="AA150" i="4"/>
  <c r="AA256" i="1" s="1"/>
  <c r="T256" i="1"/>
  <c r="AA54" i="2"/>
  <c r="AA93" i="1" s="1"/>
  <c r="T93" i="1"/>
  <c r="AA43" i="4"/>
  <c r="T77" i="1"/>
  <c r="AA40" i="4"/>
  <c r="T74" i="1"/>
  <c r="AA112" i="4"/>
  <c r="AA194" i="1" s="1"/>
  <c r="T194" i="1"/>
  <c r="AA161" i="4"/>
  <c r="AA279" i="1" s="1"/>
  <c r="T279" i="1"/>
  <c r="U44" i="1"/>
  <c r="W22" i="4"/>
  <c r="U20" i="4"/>
  <c r="U63" i="1"/>
  <c r="W37" i="2"/>
  <c r="U35" i="2"/>
  <c r="T69" i="5"/>
  <c r="I67" i="5"/>
  <c r="AA184" i="4"/>
  <c r="AA314" i="1" s="1"/>
  <c r="T314" i="1"/>
  <c r="U131" i="1"/>
  <c r="W73" i="4"/>
  <c r="U71" i="4"/>
  <c r="V75" i="1"/>
  <c r="AA177" i="4"/>
  <c r="AA307" i="1" s="1"/>
  <c r="T307" i="1"/>
  <c r="T56" i="4"/>
  <c r="I54" i="4"/>
  <c r="U316" i="1"/>
  <c r="U83" i="5"/>
  <c r="W85" i="5"/>
  <c r="AA73" i="2"/>
  <c r="AA125" i="1" s="1"/>
  <c r="T125" i="1"/>
  <c r="S1" i="5"/>
  <c r="Z13" i="5" s="1"/>
  <c r="V85" i="1"/>
  <c r="AA42" i="2"/>
  <c r="T68" i="1"/>
  <c r="AA74" i="2"/>
  <c r="AA126" i="1" s="1"/>
  <c r="T126" i="1"/>
  <c r="AA165" i="4"/>
  <c r="AA283" i="1" s="1"/>
  <c r="T283" i="1"/>
  <c r="AA151" i="4"/>
  <c r="AA257" i="1" s="1"/>
  <c r="T257" i="1"/>
  <c r="AA54" i="5"/>
  <c r="AA201" i="1" s="1"/>
  <c r="T201" i="1"/>
  <c r="AA62" i="4"/>
  <c r="AA108" i="1" s="1"/>
  <c r="T108" i="1"/>
  <c r="AA55" i="2"/>
  <c r="AA94" i="1" s="1"/>
  <c r="T94" i="1"/>
  <c r="AA115" i="4"/>
  <c r="AA197" i="1" s="1"/>
  <c r="T197" i="1"/>
  <c r="AA27" i="2"/>
  <c r="AA40" i="1" s="1"/>
  <c r="AA69" i="1" s="1"/>
  <c r="T40" i="1"/>
  <c r="AA59" i="2"/>
  <c r="AA98" i="1" s="1"/>
  <c r="T98" i="1"/>
  <c r="AA108" i="4"/>
  <c r="AA190" i="1" s="1"/>
  <c r="T190" i="1"/>
  <c r="U113" i="1"/>
  <c r="U27" i="5"/>
  <c r="W29" i="5"/>
  <c r="AA14" i="5"/>
  <c r="AA56" i="1" s="1"/>
  <c r="AA85" i="1" s="1"/>
  <c r="T56" i="1"/>
  <c r="S1" i="4"/>
  <c r="Z10" i="4" s="1"/>
  <c r="Z20" i="1" s="1"/>
  <c r="U55" i="1"/>
  <c r="U11" i="5"/>
  <c r="W13" i="5"/>
  <c r="AA145" i="4"/>
  <c r="AA251" i="1" s="1"/>
  <c r="T251" i="1"/>
  <c r="AA29" i="2"/>
  <c r="AA42" i="1" s="1"/>
  <c r="AA71" i="1" s="1"/>
  <c r="T42" i="1"/>
  <c r="AA23" i="4"/>
  <c r="AA45" i="1" s="1"/>
  <c r="AA74" i="1" s="1"/>
  <c r="T45" i="1"/>
  <c r="AA95" i="4"/>
  <c r="AA165" i="1" s="1"/>
  <c r="T165" i="1"/>
  <c r="AA42" i="4"/>
  <c r="T76" i="1"/>
  <c r="V80" i="1"/>
  <c r="T29" i="5"/>
  <c r="I27" i="5"/>
  <c r="T85" i="5"/>
  <c r="I83" i="5"/>
  <c r="AA65" i="4"/>
  <c r="AA111" i="1" s="1"/>
  <c r="T111" i="1"/>
  <c r="AA92" i="4"/>
  <c r="AA162" i="1" s="1"/>
  <c r="T162" i="1"/>
  <c r="AA28" i="2"/>
  <c r="AA41" i="1" s="1"/>
  <c r="AA70" i="1" s="1"/>
  <c r="T41" i="1"/>
  <c r="T175" i="4"/>
  <c r="I173" i="4"/>
  <c r="AA25" i="2"/>
  <c r="AA38" i="1" s="1"/>
  <c r="AA67" i="1" s="1"/>
  <c r="T38" i="1"/>
  <c r="U287" i="1"/>
  <c r="W77" i="5"/>
  <c r="U75" i="5"/>
  <c r="AA70" i="2"/>
  <c r="AA122" i="1" s="1"/>
  <c r="T122" i="1"/>
  <c r="AA29" i="4"/>
  <c r="AA51" i="1" s="1"/>
  <c r="AA80" i="1" s="1"/>
  <c r="T51" i="1"/>
  <c r="AA66" i="4"/>
  <c r="AA112" i="1" s="1"/>
  <c r="T112" i="1"/>
  <c r="AA78" i="5"/>
  <c r="AA288" i="1" s="1"/>
  <c r="T288" i="1"/>
  <c r="W70" i="1"/>
  <c r="AA40" i="2"/>
  <c r="T66" i="1"/>
  <c r="AA28" i="4"/>
  <c r="AA50" i="1" s="1"/>
  <c r="AA79" i="1" s="1"/>
  <c r="T50" i="1"/>
  <c r="AA39" i="2"/>
  <c r="T65" i="1"/>
  <c r="AA64" i="4"/>
  <c r="AA110" i="1" s="1"/>
  <c r="T110" i="1"/>
  <c r="U247" i="1"/>
  <c r="W141" i="4"/>
  <c r="U139" i="4"/>
  <c r="U171" i="1"/>
  <c r="U43" i="5"/>
  <c r="W45" i="5"/>
  <c r="V73" i="1"/>
  <c r="AA178" i="4"/>
  <c r="AA308" i="1" s="1"/>
  <c r="T308" i="1"/>
  <c r="V81" i="1"/>
  <c r="V69" i="1"/>
  <c r="V67" i="1"/>
  <c r="AA179" i="4"/>
  <c r="AA309" i="1" s="1"/>
  <c r="T309" i="1"/>
  <c r="AA26" i="4"/>
  <c r="AA48" i="1" s="1"/>
  <c r="AA77" i="1" s="1"/>
  <c r="T48" i="1"/>
  <c r="AA176" i="4"/>
  <c r="AA306" i="1" s="1"/>
  <c r="T306" i="1"/>
  <c r="AA142" i="4"/>
  <c r="AA248" i="1" s="1"/>
  <c r="T248" i="1"/>
  <c r="AA163" i="4"/>
  <c r="AA281" i="1" s="1"/>
  <c r="T281" i="1"/>
  <c r="AA110" i="4"/>
  <c r="AA192" i="1" s="1"/>
  <c r="T192" i="1"/>
  <c r="AA76" i="4"/>
  <c r="AA134" i="1" s="1"/>
  <c r="T134" i="1"/>
  <c r="V63" i="1"/>
  <c r="V32" i="1"/>
  <c r="T45" i="5"/>
  <c r="I43" i="5"/>
  <c r="T13" i="5"/>
  <c r="I11" i="5"/>
  <c r="AA99" i="4"/>
  <c r="AA169" i="1" s="1"/>
  <c r="T169" i="1"/>
  <c r="U84" i="1"/>
  <c r="W21" i="5"/>
  <c r="U19" i="5"/>
  <c r="V76" i="1"/>
  <c r="U258" i="1"/>
  <c r="U67" i="5"/>
  <c r="W69" i="5"/>
  <c r="V82" i="1"/>
  <c r="AA24" i="4"/>
  <c r="AA46" i="1" s="1"/>
  <c r="AA75" i="1" s="1"/>
  <c r="T46" i="1"/>
  <c r="I71" i="4"/>
  <c r="T73" i="4"/>
  <c r="AA41" i="2"/>
  <c r="T67" i="1"/>
  <c r="AA148" i="4"/>
  <c r="AA254" i="1" s="1"/>
  <c r="T254" i="1"/>
  <c r="AA185" i="4"/>
  <c r="AA315" i="1" s="1"/>
  <c r="T315" i="1"/>
  <c r="AA83" i="4"/>
  <c r="AA141" i="1" s="1"/>
  <c r="T141" i="1"/>
  <c r="AA86" i="5"/>
  <c r="AA317" i="1" s="1"/>
  <c r="T317" i="1"/>
  <c r="V77" i="1"/>
  <c r="AA56" i="2"/>
  <c r="AA95" i="1" s="1"/>
  <c r="T95" i="1"/>
  <c r="AA164" i="4"/>
  <c r="AA282" i="1" s="1"/>
  <c r="T282" i="1"/>
  <c r="AA30" i="4"/>
  <c r="AA52" i="1" s="1"/>
  <c r="AA81" i="1" s="1"/>
  <c r="T52" i="1"/>
  <c r="AA78" i="2"/>
  <c r="AA130" i="1" s="1"/>
  <c r="T130" i="1"/>
  <c r="I92" i="1"/>
  <c r="J99" i="1"/>
  <c r="J128" i="1" s="1"/>
  <c r="J157" i="1" s="1"/>
  <c r="J186" i="1" s="1"/>
  <c r="J215" i="1" s="1"/>
  <c r="J244" i="1" s="1"/>
  <c r="J273" i="1" s="1"/>
  <c r="J302" i="1" s="1"/>
  <c r="J331" i="1" s="1"/>
  <c r="J182" i="1"/>
  <c r="J211" i="1" s="1"/>
  <c r="J32" i="1"/>
  <c r="J65" i="1"/>
  <c r="J94" i="1" s="1"/>
  <c r="J123" i="1" s="1"/>
  <c r="J152" i="1" s="1"/>
  <c r="J181" i="1" s="1"/>
  <c r="J210" i="1" s="1"/>
  <c r="J239" i="1" s="1"/>
  <c r="J268" i="1" s="1"/>
  <c r="J297" i="1" s="1"/>
  <c r="J326" i="1" s="1"/>
  <c r="J150" i="1"/>
  <c r="J179" i="1" s="1"/>
  <c r="AD2" i="7"/>
  <c r="AE5" i="7"/>
  <c r="AE2" i="7" s="1"/>
  <c r="W5" i="1"/>
  <c r="T9" i="4"/>
  <c r="T19" i="1" s="1"/>
  <c r="T8" i="2"/>
  <c r="AA8" i="2" s="1"/>
  <c r="W23" i="1"/>
  <c r="T12" i="4"/>
  <c r="T22" i="1" s="1"/>
  <c r="X24" i="1"/>
  <c r="V24" i="1"/>
  <c r="Y20" i="1"/>
  <c r="Y14" i="1"/>
  <c r="Y10" i="1"/>
  <c r="V12" i="1"/>
  <c r="V22" i="1"/>
  <c r="I20" i="1"/>
  <c r="I49" i="1" s="1"/>
  <c r="I78" i="1" s="1"/>
  <c r="I107" i="1" s="1"/>
  <c r="I136" i="1" s="1"/>
  <c r="I165" i="1" s="1"/>
  <c r="I194" i="1" s="1"/>
  <c r="I223" i="1" s="1"/>
  <c r="I252" i="1" s="1"/>
  <c r="I281" i="1" s="1"/>
  <c r="I310" i="1" s="1"/>
  <c r="I339" i="1" s="1"/>
  <c r="X13" i="1"/>
  <c r="X22" i="1"/>
  <c r="X20" i="1"/>
  <c r="X14" i="1"/>
  <c r="Y6" i="1"/>
  <c r="W5" i="5"/>
  <c r="W26" i="1" s="1"/>
  <c r="I18" i="1"/>
  <c r="I47" i="1" s="1"/>
  <c r="I76" i="1" s="1"/>
  <c r="I105" i="1" s="1"/>
  <c r="I134" i="1" s="1"/>
  <c r="I163" i="1" s="1"/>
  <c r="I192" i="1" s="1"/>
  <c r="I221" i="1" s="1"/>
  <c r="I250" i="1" s="1"/>
  <c r="I279" i="1" s="1"/>
  <c r="I308" i="1" s="1"/>
  <c r="I337" i="1" s="1"/>
  <c r="T11" i="2"/>
  <c r="T11" i="1" s="1"/>
  <c r="Y22" i="1"/>
  <c r="X8" i="1"/>
  <c r="V18" i="1"/>
  <c r="Y24" i="1"/>
  <c r="I21" i="1"/>
  <c r="I50" i="1" s="1"/>
  <c r="I79" i="1" s="1"/>
  <c r="I108" i="1" s="1"/>
  <c r="I137" i="1" s="1"/>
  <c r="I166" i="1" s="1"/>
  <c r="I195" i="1" s="1"/>
  <c r="I224" i="1" s="1"/>
  <c r="I253" i="1" s="1"/>
  <c r="I282" i="1" s="1"/>
  <c r="I311" i="1" s="1"/>
  <c r="I340" i="1" s="1"/>
  <c r="W21" i="1"/>
  <c r="W13" i="1"/>
  <c r="W9" i="2"/>
  <c r="I23" i="1"/>
  <c r="I52" i="1" s="1"/>
  <c r="I81" i="1" s="1"/>
  <c r="I110" i="1" s="1"/>
  <c r="I139" i="1" s="1"/>
  <c r="I168" i="1" s="1"/>
  <c r="I197" i="1" s="1"/>
  <c r="I226" i="1" s="1"/>
  <c r="I255" i="1" s="1"/>
  <c r="I284" i="1" s="1"/>
  <c r="I313" i="1" s="1"/>
  <c r="I342" i="1" s="1"/>
  <c r="T5" i="5"/>
  <c r="T26" i="1" s="1"/>
  <c r="Y15" i="1"/>
  <c r="X6" i="1"/>
  <c r="X18" i="1"/>
  <c r="Y7" i="1"/>
  <c r="X10" i="1"/>
  <c r="S3" i="11"/>
  <c r="T6" i="5"/>
  <c r="T27" i="1" s="1"/>
  <c r="T12" i="2"/>
  <c r="T12" i="1" s="1"/>
  <c r="I6" i="1"/>
  <c r="I35" i="1" s="1"/>
  <c r="I64" i="1" s="1"/>
  <c r="I93" i="1" s="1"/>
  <c r="I122" i="1" s="1"/>
  <c r="I151" i="1" s="1"/>
  <c r="I180" i="1" s="1"/>
  <c r="I209" i="1" s="1"/>
  <c r="I238" i="1" s="1"/>
  <c r="I267" i="1" s="1"/>
  <c r="I296" i="1" s="1"/>
  <c r="I325" i="1" s="1"/>
  <c r="I17" i="1"/>
  <c r="I46" i="1" s="1"/>
  <c r="I75" i="1" s="1"/>
  <c r="I104" i="1" s="1"/>
  <c r="I133" i="1" s="1"/>
  <c r="I162" i="1" s="1"/>
  <c r="I191" i="1" s="1"/>
  <c r="I220" i="1" s="1"/>
  <c r="I249" i="1" s="1"/>
  <c r="I278" i="1" s="1"/>
  <c r="I307" i="1" s="1"/>
  <c r="I336" i="1" s="1"/>
  <c r="X15" i="1"/>
  <c r="Y9" i="1"/>
  <c r="X7" i="1"/>
  <c r="X3" i="11"/>
  <c r="I13" i="1"/>
  <c r="I42" i="1" s="1"/>
  <c r="I71" i="1" s="1"/>
  <c r="I100" i="1" s="1"/>
  <c r="I129" i="1" s="1"/>
  <c r="I158" i="1" s="1"/>
  <c r="I187" i="1" s="1"/>
  <c r="I216" i="1" s="1"/>
  <c r="I245" i="1" s="1"/>
  <c r="I274" i="1" s="1"/>
  <c r="I303" i="1" s="1"/>
  <c r="I332" i="1" s="1"/>
  <c r="W25" i="1"/>
  <c r="I15" i="1"/>
  <c r="I44" i="1" s="1"/>
  <c r="I73" i="1" s="1"/>
  <c r="I102" i="1" s="1"/>
  <c r="I131" i="1" s="1"/>
  <c r="I160" i="1" s="1"/>
  <c r="I189" i="1" s="1"/>
  <c r="I218" i="1" s="1"/>
  <c r="I247" i="1" s="1"/>
  <c r="I276" i="1" s="1"/>
  <c r="I305" i="1" s="1"/>
  <c r="I334" i="1" s="1"/>
  <c r="I24" i="1"/>
  <c r="I53" i="1" s="1"/>
  <c r="I82" i="1" s="1"/>
  <c r="I111" i="1" s="1"/>
  <c r="I140" i="1" s="1"/>
  <c r="I169" i="1" s="1"/>
  <c r="I198" i="1" s="1"/>
  <c r="I227" i="1" s="1"/>
  <c r="I256" i="1" s="1"/>
  <c r="I285" i="1" s="1"/>
  <c r="I314" i="1" s="1"/>
  <c r="I343" i="1" s="1"/>
  <c r="I10" i="1"/>
  <c r="I39" i="1" s="1"/>
  <c r="I68" i="1" s="1"/>
  <c r="I97" i="1" s="1"/>
  <c r="I126" i="1" s="1"/>
  <c r="I155" i="1" s="1"/>
  <c r="I184" i="1" s="1"/>
  <c r="I213" i="1" s="1"/>
  <c r="I242" i="1" s="1"/>
  <c r="I271" i="1" s="1"/>
  <c r="I300" i="1" s="1"/>
  <c r="I329" i="1" s="1"/>
  <c r="Y16" i="1"/>
  <c r="V20" i="1"/>
  <c r="U8" i="1"/>
  <c r="U3" i="11"/>
  <c r="I16" i="1"/>
  <c r="I45" i="1" s="1"/>
  <c r="I74" i="1" s="1"/>
  <c r="I103" i="1" s="1"/>
  <c r="I132" i="1" s="1"/>
  <c r="I161" i="1" s="1"/>
  <c r="I190" i="1" s="1"/>
  <c r="I219" i="1" s="1"/>
  <c r="I248" i="1" s="1"/>
  <c r="I277" i="1" s="1"/>
  <c r="I306" i="1" s="1"/>
  <c r="I335" i="1" s="1"/>
  <c r="I7" i="1"/>
  <c r="I36" i="1" s="1"/>
  <c r="I3" i="11"/>
  <c r="I25" i="1"/>
  <c r="I54" i="1" s="1"/>
  <c r="I83" i="1" s="1"/>
  <c r="I112" i="1" s="1"/>
  <c r="I141" i="1" s="1"/>
  <c r="I170" i="1" s="1"/>
  <c r="I199" i="1" s="1"/>
  <c r="I228" i="1" s="1"/>
  <c r="I257" i="1" s="1"/>
  <c r="I286" i="1" s="1"/>
  <c r="I315" i="1" s="1"/>
  <c r="I344" i="1" s="1"/>
  <c r="I14" i="1"/>
  <c r="I43" i="1" s="1"/>
  <c r="I72" i="1" s="1"/>
  <c r="I101" i="1" s="1"/>
  <c r="I130" i="1" s="1"/>
  <c r="I159" i="1" s="1"/>
  <c r="I188" i="1" s="1"/>
  <c r="I217" i="1" s="1"/>
  <c r="I246" i="1" s="1"/>
  <c r="I275" i="1" s="1"/>
  <c r="I304" i="1" s="1"/>
  <c r="I333" i="1" s="1"/>
  <c r="X9" i="1"/>
  <c r="Y8" i="1"/>
  <c r="X16" i="1"/>
  <c r="Y18" i="1"/>
  <c r="X27" i="1"/>
  <c r="Y13" i="1"/>
  <c r="W27" i="1"/>
  <c r="V3" i="11"/>
  <c r="V11" i="1"/>
  <c r="W19" i="1"/>
  <c r="I27" i="1"/>
  <c r="I56" i="1" s="1"/>
  <c r="I85" i="1" s="1"/>
  <c r="I114" i="1" s="1"/>
  <c r="I143" i="1" s="1"/>
  <c r="I172" i="1" s="1"/>
  <c r="I201" i="1" s="1"/>
  <c r="I230" i="1" s="1"/>
  <c r="I259" i="1" s="1"/>
  <c r="I288" i="1" s="1"/>
  <c r="I317" i="1" s="1"/>
  <c r="I346" i="1" s="1"/>
  <c r="AA12" i="2"/>
  <c r="V8" i="1"/>
  <c r="V13" i="1"/>
  <c r="V9" i="1"/>
  <c r="T5" i="1"/>
  <c r="AA5" i="2"/>
  <c r="T9" i="1"/>
  <c r="AA9" i="2"/>
  <c r="V15" i="1"/>
  <c r="S3" i="1"/>
  <c r="S1" i="1" s="1"/>
  <c r="T13" i="2"/>
  <c r="Y3" i="2"/>
  <c r="I22" i="1"/>
  <c r="I51" i="1" s="1"/>
  <c r="I80" i="1" s="1"/>
  <c r="I109" i="1" s="1"/>
  <c r="I138" i="1" s="1"/>
  <c r="I167" i="1" s="1"/>
  <c r="I196" i="1" s="1"/>
  <c r="I225" i="1" s="1"/>
  <c r="I254" i="1" s="1"/>
  <c r="I283" i="1" s="1"/>
  <c r="I312" i="1" s="1"/>
  <c r="I341" i="1" s="1"/>
  <c r="T13" i="4"/>
  <c r="T5" i="4"/>
  <c r="T10" i="4"/>
  <c r="T11" i="4"/>
  <c r="V3" i="2"/>
  <c r="T14" i="2"/>
  <c r="X3" i="2"/>
  <c r="V3" i="4"/>
  <c r="T6" i="4"/>
  <c r="V16" i="1"/>
  <c r="I3" i="4"/>
  <c r="I26" i="1"/>
  <c r="I55" i="1" s="1"/>
  <c r="I84" i="1" s="1"/>
  <c r="I113" i="1" s="1"/>
  <c r="I142" i="1" s="1"/>
  <c r="I171" i="1" s="1"/>
  <c r="I200" i="1" s="1"/>
  <c r="I229" i="1" s="1"/>
  <c r="I258" i="1" s="1"/>
  <c r="I287" i="1" s="1"/>
  <c r="I316" i="1" s="1"/>
  <c r="I345" i="1" s="1"/>
  <c r="Y3" i="4"/>
  <c r="I3" i="5"/>
  <c r="T14" i="4"/>
  <c r="I12" i="1"/>
  <c r="I41" i="1" s="1"/>
  <c r="I70" i="1" s="1"/>
  <c r="I99" i="1" s="1"/>
  <c r="I128" i="1" s="1"/>
  <c r="I157" i="1" s="1"/>
  <c r="I186" i="1" s="1"/>
  <c r="I215" i="1" s="1"/>
  <c r="I244" i="1" s="1"/>
  <c r="I273" i="1" s="1"/>
  <c r="I302" i="1" s="1"/>
  <c r="I331" i="1" s="1"/>
  <c r="T7" i="4"/>
  <c r="T15" i="4"/>
  <c r="X3" i="4"/>
  <c r="T7" i="2"/>
  <c r="T10" i="2"/>
  <c r="I11" i="1"/>
  <c r="I40" i="1" s="1"/>
  <c r="I69" i="1" s="1"/>
  <c r="I98" i="1" s="1"/>
  <c r="I127" i="1" s="1"/>
  <c r="I156" i="1" s="1"/>
  <c r="I185" i="1" s="1"/>
  <c r="I214" i="1" s="1"/>
  <c r="I243" i="1" s="1"/>
  <c r="I272" i="1" s="1"/>
  <c r="I301" i="1" s="1"/>
  <c r="I330" i="1" s="1"/>
  <c r="T8" i="4"/>
  <c r="U9" i="1"/>
  <c r="T6" i="2"/>
  <c r="I3" i="2"/>
  <c r="W8" i="2"/>
  <c r="U18" i="1"/>
  <c r="W8" i="4"/>
  <c r="U10" i="1"/>
  <c r="W10" i="2"/>
  <c r="U14" i="1"/>
  <c r="W14" i="2"/>
  <c r="U6" i="1"/>
  <c r="W6" i="2"/>
  <c r="U15" i="1"/>
  <c r="W5" i="4"/>
  <c r="U11" i="1"/>
  <c r="W11" i="2"/>
  <c r="U22" i="1"/>
  <c r="W12" i="4"/>
  <c r="U7" i="1"/>
  <c r="W7" i="2"/>
  <c r="U20" i="1"/>
  <c r="W10" i="4"/>
  <c r="U12" i="1"/>
  <c r="W12" i="2"/>
  <c r="U16" i="1"/>
  <c r="W6" i="4"/>
  <c r="U17" i="1"/>
  <c r="W7" i="4"/>
  <c r="U24" i="1"/>
  <c r="W14" i="4"/>
  <c r="J3" i="1"/>
  <c r="U26" i="1"/>
  <c r="U3" i="5"/>
  <c r="U3" i="4"/>
  <c r="U3" i="2"/>
  <c r="S61" i="1" l="1"/>
  <c r="S59" i="1" s="1"/>
  <c r="H194" i="4"/>
  <c r="D194" i="4"/>
  <c r="G194" i="4"/>
  <c r="S194" i="4" s="1"/>
  <c r="E194" i="4"/>
  <c r="F194" i="4"/>
  <c r="J194" i="4"/>
  <c r="U194" i="4" s="1"/>
  <c r="I194" i="4"/>
  <c r="T194" i="4" s="1"/>
  <c r="D134" i="4"/>
  <c r="E134" i="4"/>
  <c r="H134" i="4"/>
  <c r="G134" i="4"/>
  <c r="S134" i="4" s="1"/>
  <c r="F134" i="4"/>
  <c r="J134" i="4"/>
  <c r="U134" i="4" s="1"/>
  <c r="I134" i="4"/>
  <c r="T134" i="4" s="1"/>
  <c r="D202" i="4"/>
  <c r="H202" i="4"/>
  <c r="G202" i="4"/>
  <c r="S202" i="4" s="1"/>
  <c r="F202" i="4"/>
  <c r="E202" i="4"/>
  <c r="J202" i="4"/>
  <c r="U202" i="4" s="1"/>
  <c r="I202" i="4"/>
  <c r="T202" i="4" s="1"/>
  <c r="J91" i="5"/>
  <c r="U93" i="5"/>
  <c r="X35" i="11"/>
  <c r="X32" i="11" s="1"/>
  <c r="S32" i="11"/>
  <c r="S30" i="11" s="1"/>
  <c r="Y35" i="11"/>
  <c r="Y32" i="11" s="1"/>
  <c r="V35" i="11"/>
  <c r="V32" i="11" s="1"/>
  <c r="S198" i="1"/>
  <c r="X116" i="4"/>
  <c r="X198" i="1" s="1"/>
  <c r="Y116" i="4"/>
  <c r="Y198" i="1" s="1"/>
  <c r="V116" i="4"/>
  <c r="V198" i="1" s="1"/>
  <c r="X110" i="11"/>
  <c r="Y110" i="11"/>
  <c r="V110" i="11"/>
  <c r="U306" i="1"/>
  <c r="W176" i="4"/>
  <c r="W306" i="1" s="1"/>
  <c r="S191" i="1"/>
  <c r="X109" i="4"/>
  <c r="X191" i="1" s="1"/>
  <c r="Y109" i="4"/>
  <c r="Y191" i="1" s="1"/>
  <c r="V109" i="4"/>
  <c r="V191" i="1" s="1"/>
  <c r="Y32" i="1"/>
  <c r="F128" i="4"/>
  <c r="E128" i="4"/>
  <c r="H128" i="4"/>
  <c r="G128" i="4"/>
  <c r="S128" i="4" s="1"/>
  <c r="D128" i="4"/>
  <c r="J128" i="4"/>
  <c r="U128" i="4" s="1"/>
  <c r="I128" i="4"/>
  <c r="T128" i="4" s="1"/>
  <c r="S121" i="1"/>
  <c r="X69" i="2"/>
  <c r="Y69" i="2"/>
  <c r="V69" i="2"/>
  <c r="S107" i="1"/>
  <c r="X61" i="4"/>
  <c r="X107" i="1" s="1"/>
  <c r="Y61" i="4"/>
  <c r="Y107" i="1" s="1"/>
  <c r="V61" i="4"/>
  <c r="V107" i="1" s="1"/>
  <c r="E130" i="4"/>
  <c r="D130" i="4"/>
  <c r="G130" i="4"/>
  <c r="S130" i="4" s="1"/>
  <c r="H130" i="4"/>
  <c r="F130" i="4"/>
  <c r="J130" i="4"/>
  <c r="U130" i="4" s="1"/>
  <c r="I130" i="4"/>
  <c r="T130" i="4" s="1"/>
  <c r="W108" i="4"/>
  <c r="W190" i="1" s="1"/>
  <c r="U190" i="1"/>
  <c r="W71" i="2"/>
  <c r="W123" i="1" s="1"/>
  <c r="U123" i="1"/>
  <c r="S315" i="1"/>
  <c r="X185" i="4"/>
  <c r="X315" i="1" s="1"/>
  <c r="Y185" i="4"/>
  <c r="Y315" i="1" s="1"/>
  <c r="V185" i="4"/>
  <c r="V315" i="1" s="1"/>
  <c r="W70" i="2"/>
  <c r="W122" i="1" s="1"/>
  <c r="U122" i="1"/>
  <c r="S345" i="1"/>
  <c r="S91" i="5"/>
  <c r="S89" i="5" s="1"/>
  <c r="X93" i="5"/>
  <c r="Y93" i="5"/>
  <c r="V93" i="5"/>
  <c r="V88" i="4"/>
  <c r="V160" i="1"/>
  <c r="G93" i="11"/>
  <c r="S64" i="11"/>
  <c r="G168" i="11"/>
  <c r="S139" i="11"/>
  <c r="S306" i="1"/>
  <c r="X176" i="4"/>
  <c r="X306" i="1" s="1"/>
  <c r="Y176" i="4"/>
  <c r="Y306" i="1" s="1"/>
  <c r="V176" i="4"/>
  <c r="V306" i="1" s="1"/>
  <c r="Y61" i="1"/>
  <c r="W73" i="2"/>
  <c r="W125" i="1" s="1"/>
  <c r="U125" i="1"/>
  <c r="S109" i="1"/>
  <c r="X63" i="4"/>
  <c r="X109" i="1" s="1"/>
  <c r="Y63" i="4"/>
  <c r="Y109" i="1" s="1"/>
  <c r="V63" i="4"/>
  <c r="V109" i="1" s="1"/>
  <c r="W57" i="4"/>
  <c r="W103" i="1" s="1"/>
  <c r="U103" i="1"/>
  <c r="W94" i="5"/>
  <c r="W346" i="1" s="1"/>
  <c r="U346" i="1"/>
  <c r="V113" i="1"/>
  <c r="V27" i="5"/>
  <c r="W58" i="4"/>
  <c r="W104" i="1" s="1"/>
  <c r="U104" i="1"/>
  <c r="X108" i="11"/>
  <c r="Y108" i="11"/>
  <c r="V108" i="11"/>
  <c r="D125" i="4"/>
  <c r="H125" i="4"/>
  <c r="G125" i="4"/>
  <c r="S125" i="4" s="1"/>
  <c r="Z125" i="4" s="1"/>
  <c r="F125" i="4"/>
  <c r="E125" i="4"/>
  <c r="J125" i="4"/>
  <c r="U125" i="4" s="1"/>
  <c r="I125" i="4"/>
  <c r="T125" i="4" s="1"/>
  <c r="W60" i="4"/>
  <c r="W106" i="1" s="1"/>
  <c r="U106" i="1"/>
  <c r="S106" i="1"/>
  <c r="X60" i="4"/>
  <c r="X106" i="1" s="1"/>
  <c r="Y60" i="4"/>
  <c r="Y106" i="1" s="1"/>
  <c r="V60" i="4"/>
  <c r="V106" i="1" s="1"/>
  <c r="X96" i="11"/>
  <c r="Y96" i="11"/>
  <c r="V96" i="11"/>
  <c r="S346" i="1"/>
  <c r="X94" i="5"/>
  <c r="X346" i="1" s="1"/>
  <c r="Y94" i="5"/>
  <c r="Y346" i="1" s="1"/>
  <c r="V94" i="5"/>
  <c r="V346" i="1" s="1"/>
  <c r="X88" i="4"/>
  <c r="X160" i="1"/>
  <c r="D133" i="4"/>
  <c r="F133" i="4"/>
  <c r="E133" i="4"/>
  <c r="H133" i="4"/>
  <c r="G133" i="4"/>
  <c r="S133" i="4" s="1"/>
  <c r="J133" i="4"/>
  <c r="U133" i="4" s="1"/>
  <c r="I133" i="4"/>
  <c r="T133" i="4" s="1"/>
  <c r="S105" i="1"/>
  <c r="X59" i="4"/>
  <c r="X105" i="1" s="1"/>
  <c r="Y59" i="4"/>
  <c r="Y105" i="1" s="1"/>
  <c r="V59" i="4"/>
  <c r="V105" i="1" s="1"/>
  <c r="X95" i="11"/>
  <c r="Y95" i="11"/>
  <c r="V95" i="11"/>
  <c r="Y113" i="1"/>
  <c r="Y27" i="5"/>
  <c r="S104" i="1"/>
  <c r="X58" i="4"/>
  <c r="X104" i="1" s="1"/>
  <c r="Y58" i="4"/>
  <c r="Y104" i="1" s="1"/>
  <c r="V58" i="4"/>
  <c r="V104" i="1" s="1"/>
  <c r="S193" i="1"/>
  <c r="X111" i="4"/>
  <c r="X193" i="1" s="1"/>
  <c r="Y111" i="4"/>
  <c r="Y193" i="1" s="1"/>
  <c r="V111" i="4"/>
  <c r="V193" i="1" s="1"/>
  <c r="G166" i="11"/>
  <c r="S137" i="11"/>
  <c r="D132" i="4"/>
  <c r="F132" i="4"/>
  <c r="H132" i="4"/>
  <c r="G132" i="4"/>
  <c r="S132" i="4" s="1"/>
  <c r="E132" i="4"/>
  <c r="J132" i="4"/>
  <c r="U132" i="4" s="1"/>
  <c r="I132" i="4"/>
  <c r="T132" i="4" s="1"/>
  <c r="W72" i="2"/>
  <c r="W124" i="1" s="1"/>
  <c r="U124" i="1"/>
  <c r="V37" i="4"/>
  <c r="S102" i="1"/>
  <c r="S54" i="4"/>
  <c r="S52" i="4" s="1"/>
  <c r="X56" i="4"/>
  <c r="Y56" i="4"/>
  <c r="V56" i="4"/>
  <c r="S103" i="1"/>
  <c r="X57" i="4"/>
  <c r="X103" i="1" s="1"/>
  <c r="Y57" i="4"/>
  <c r="Y103" i="1" s="1"/>
  <c r="V57" i="4"/>
  <c r="V103" i="1" s="1"/>
  <c r="Y160" i="1"/>
  <c r="Y88" i="4"/>
  <c r="V35" i="2"/>
  <c r="W180" i="4"/>
  <c r="W310" i="1" s="1"/>
  <c r="U310" i="1"/>
  <c r="G154" i="11"/>
  <c r="S125" i="11"/>
  <c r="F86" i="2"/>
  <c r="G86" i="2"/>
  <c r="S86" i="2" s="1"/>
  <c r="E86" i="2"/>
  <c r="C102" i="2"/>
  <c r="H86" i="2"/>
  <c r="D86" i="2"/>
  <c r="J86" i="2"/>
  <c r="U86" i="2" s="1"/>
  <c r="I86" i="2"/>
  <c r="T86" i="2" s="1"/>
  <c r="S111" i="1"/>
  <c r="X65" i="4"/>
  <c r="X111" i="1" s="1"/>
  <c r="Y65" i="4"/>
  <c r="Y111" i="1" s="1"/>
  <c r="V65" i="4"/>
  <c r="V111" i="1" s="1"/>
  <c r="X113" i="11"/>
  <c r="Y113" i="11"/>
  <c r="V113" i="11"/>
  <c r="H193" i="4"/>
  <c r="E193" i="4"/>
  <c r="G193" i="4"/>
  <c r="S193" i="4" s="1"/>
  <c r="D193" i="4"/>
  <c r="F193" i="4"/>
  <c r="J193" i="4"/>
  <c r="U193" i="4" s="1"/>
  <c r="I193" i="4"/>
  <c r="T193" i="4" s="1"/>
  <c r="W110" i="4"/>
  <c r="W192" i="1" s="1"/>
  <c r="U192" i="1"/>
  <c r="G153" i="11"/>
  <c r="S124" i="11"/>
  <c r="X27" i="5"/>
  <c r="X113" i="1"/>
  <c r="H85" i="2"/>
  <c r="D85" i="2"/>
  <c r="C101" i="2"/>
  <c r="F85" i="2"/>
  <c r="G85" i="2"/>
  <c r="S85" i="2" s="1"/>
  <c r="E85" i="2"/>
  <c r="J85" i="2"/>
  <c r="I85" i="2"/>
  <c r="S125" i="1"/>
  <c r="X73" i="2"/>
  <c r="X125" i="1" s="1"/>
  <c r="Y73" i="2"/>
  <c r="Y125" i="1" s="1"/>
  <c r="V73" i="2"/>
  <c r="V125" i="1" s="1"/>
  <c r="S190" i="1"/>
  <c r="X108" i="4"/>
  <c r="X190" i="1" s="1"/>
  <c r="Y108" i="4"/>
  <c r="Y190" i="1" s="1"/>
  <c r="V108" i="4"/>
  <c r="V190" i="1" s="1"/>
  <c r="W182" i="4"/>
  <c r="W312" i="1" s="1"/>
  <c r="U312" i="1"/>
  <c r="Y37" i="4"/>
  <c r="S196" i="1"/>
  <c r="X114" i="4"/>
  <c r="X196" i="1" s="1"/>
  <c r="Y114" i="4"/>
  <c r="Y196" i="1" s="1"/>
  <c r="V114" i="4"/>
  <c r="V196" i="1" s="1"/>
  <c r="X61" i="1"/>
  <c r="W66" i="4"/>
  <c r="W112" i="1" s="1"/>
  <c r="U112" i="1"/>
  <c r="S123" i="1"/>
  <c r="X71" i="2"/>
  <c r="X123" i="1" s="1"/>
  <c r="Y71" i="2"/>
  <c r="Y123" i="1" s="1"/>
  <c r="V71" i="2"/>
  <c r="V123" i="1" s="1"/>
  <c r="X101" i="11"/>
  <c r="Y101" i="11"/>
  <c r="V101" i="11"/>
  <c r="X107" i="11"/>
  <c r="Y107" i="11"/>
  <c r="V107" i="11"/>
  <c r="W62" i="5"/>
  <c r="W230" i="1" s="1"/>
  <c r="U230" i="1"/>
  <c r="G171" i="11"/>
  <c r="S142" i="11"/>
  <c r="D126" i="4"/>
  <c r="H126" i="4"/>
  <c r="F126" i="4"/>
  <c r="E126" i="4"/>
  <c r="G126" i="4"/>
  <c r="S126" i="4" s="1"/>
  <c r="Z126" i="4" s="1"/>
  <c r="J126" i="4"/>
  <c r="U126" i="4" s="1"/>
  <c r="I126" i="4"/>
  <c r="T126" i="4" s="1"/>
  <c r="H127" i="4"/>
  <c r="D127" i="4"/>
  <c r="E127" i="4"/>
  <c r="G127" i="4"/>
  <c r="S127" i="4" s="1"/>
  <c r="F127" i="4"/>
  <c r="J127" i="4"/>
  <c r="U127" i="4" s="1"/>
  <c r="I127" i="4"/>
  <c r="T127" i="4" s="1"/>
  <c r="X111" i="11"/>
  <c r="Y111" i="11"/>
  <c r="V111" i="11"/>
  <c r="U60" i="2"/>
  <c r="J51" i="2"/>
  <c r="S124" i="1"/>
  <c r="X72" i="2"/>
  <c r="X124" i="1" s="1"/>
  <c r="Y72" i="2"/>
  <c r="Y124" i="1" s="1"/>
  <c r="V72" i="2"/>
  <c r="V124" i="1" s="1"/>
  <c r="F199" i="4"/>
  <c r="G199" i="4"/>
  <c r="S199" i="4" s="1"/>
  <c r="H199" i="4"/>
  <c r="E199" i="4"/>
  <c r="D199" i="4"/>
  <c r="J199" i="4"/>
  <c r="U199" i="4" s="1"/>
  <c r="I199" i="4"/>
  <c r="T199" i="4" s="1"/>
  <c r="X37" i="4"/>
  <c r="W65" i="4"/>
  <c r="W111" i="1" s="1"/>
  <c r="U111" i="1"/>
  <c r="W111" i="4"/>
  <c r="W193" i="1" s="1"/>
  <c r="U193" i="1"/>
  <c r="S310" i="1"/>
  <c r="X180" i="4"/>
  <c r="X310" i="1" s="1"/>
  <c r="Y180" i="4"/>
  <c r="Y310" i="1" s="1"/>
  <c r="V180" i="4"/>
  <c r="V310" i="1" s="1"/>
  <c r="X32" i="1"/>
  <c r="S112" i="1"/>
  <c r="X66" i="4"/>
  <c r="X112" i="1" s="1"/>
  <c r="Y66" i="4"/>
  <c r="Y112" i="1" s="1"/>
  <c r="V66" i="4"/>
  <c r="V112" i="1" s="1"/>
  <c r="D87" i="2"/>
  <c r="C103" i="2"/>
  <c r="E87" i="2"/>
  <c r="F87" i="2"/>
  <c r="G87" i="2"/>
  <c r="S87" i="2" s="1"/>
  <c r="H87" i="2"/>
  <c r="J87" i="2"/>
  <c r="U87" i="2" s="1"/>
  <c r="I87" i="2"/>
  <c r="T87" i="2" s="1"/>
  <c r="S122" i="1"/>
  <c r="X70" i="2"/>
  <c r="X122" i="1" s="1"/>
  <c r="Y70" i="2"/>
  <c r="Y122" i="1" s="1"/>
  <c r="V70" i="2"/>
  <c r="V122" i="1" s="1"/>
  <c r="G159" i="11"/>
  <c r="S130" i="11"/>
  <c r="W74" i="2"/>
  <c r="W126" i="1" s="1"/>
  <c r="U126" i="1"/>
  <c r="J59" i="5"/>
  <c r="U61" i="5"/>
  <c r="G165" i="11"/>
  <c r="S136" i="11"/>
  <c r="W64" i="4"/>
  <c r="W110" i="1" s="1"/>
  <c r="U110" i="1"/>
  <c r="U175" i="4"/>
  <c r="J173" i="4"/>
  <c r="G169" i="11"/>
  <c r="S140" i="11"/>
  <c r="V276" i="1"/>
  <c r="V156" i="4"/>
  <c r="H89" i="2"/>
  <c r="G89" i="2"/>
  <c r="S89" i="2" s="1"/>
  <c r="C105" i="2"/>
  <c r="E89" i="2"/>
  <c r="F89" i="2"/>
  <c r="D89" i="2"/>
  <c r="J89" i="2"/>
  <c r="U89" i="2" s="1"/>
  <c r="I89" i="2"/>
  <c r="T89" i="2" s="1"/>
  <c r="S99" i="1"/>
  <c r="X60" i="2"/>
  <c r="X99" i="1" s="1"/>
  <c r="Y60" i="2"/>
  <c r="Y99" i="1" s="1"/>
  <c r="V60" i="2"/>
  <c r="V99" i="1" s="1"/>
  <c r="X102" i="11"/>
  <c r="Y102" i="11"/>
  <c r="V102" i="11"/>
  <c r="W109" i="4"/>
  <c r="W191" i="1" s="1"/>
  <c r="U191" i="1"/>
  <c r="S197" i="1"/>
  <c r="X115" i="4"/>
  <c r="X197" i="1" s="1"/>
  <c r="Y115" i="4"/>
  <c r="Y197" i="1" s="1"/>
  <c r="V115" i="4"/>
  <c r="V197" i="1" s="1"/>
  <c r="W62" i="4"/>
  <c r="W108" i="1" s="1"/>
  <c r="U108" i="1"/>
  <c r="X103" i="11"/>
  <c r="Y103" i="11"/>
  <c r="V103" i="11"/>
  <c r="X97" i="11"/>
  <c r="Y97" i="11"/>
  <c r="V97" i="11"/>
  <c r="S192" i="1"/>
  <c r="X110" i="4"/>
  <c r="X192" i="1" s="1"/>
  <c r="Y110" i="4"/>
  <c r="Y192" i="1" s="1"/>
  <c r="V110" i="4"/>
  <c r="V192" i="1" s="1"/>
  <c r="X112" i="11"/>
  <c r="Y112" i="11"/>
  <c r="V112" i="11"/>
  <c r="Y276" i="1"/>
  <c r="Y156" i="4"/>
  <c r="W183" i="4"/>
  <c r="W313" i="1" s="1"/>
  <c r="U313" i="1"/>
  <c r="X266" i="11"/>
  <c r="Y266" i="11"/>
  <c r="V266" i="11"/>
  <c r="U314" i="1"/>
  <c r="W184" i="4"/>
  <c r="W314" i="1" s="1"/>
  <c r="G160" i="11"/>
  <c r="S131" i="11"/>
  <c r="G124" i="4"/>
  <c r="S124" i="4" s="1"/>
  <c r="E124" i="4"/>
  <c r="D124" i="4"/>
  <c r="H124" i="4"/>
  <c r="F124" i="4"/>
  <c r="J124" i="4"/>
  <c r="I124" i="4"/>
  <c r="U198" i="1"/>
  <c r="W116" i="4"/>
  <c r="W198" i="1" s="1"/>
  <c r="X98" i="11"/>
  <c r="Y98" i="11"/>
  <c r="V98" i="11"/>
  <c r="E197" i="4"/>
  <c r="D197" i="4"/>
  <c r="H197" i="4"/>
  <c r="G197" i="4"/>
  <c r="S197" i="4" s="1"/>
  <c r="Z197" i="4" s="1"/>
  <c r="F197" i="4"/>
  <c r="J197" i="4"/>
  <c r="U197" i="4" s="1"/>
  <c r="I197" i="4"/>
  <c r="T197" i="4" s="1"/>
  <c r="X105" i="11"/>
  <c r="Y105" i="11"/>
  <c r="V105" i="11"/>
  <c r="G161" i="11"/>
  <c r="S132" i="11"/>
  <c r="S229" i="1"/>
  <c r="S59" i="5"/>
  <c r="S57" i="5" s="1"/>
  <c r="X61" i="5"/>
  <c r="Y61" i="5"/>
  <c r="V61" i="5"/>
  <c r="G155" i="11"/>
  <c r="S126" i="11"/>
  <c r="S230" i="1"/>
  <c r="X62" i="5"/>
  <c r="X230" i="1" s="1"/>
  <c r="Y62" i="5"/>
  <c r="Y230" i="1" s="1"/>
  <c r="V62" i="5"/>
  <c r="V230" i="1" s="1"/>
  <c r="X94" i="11"/>
  <c r="Y94" i="11"/>
  <c r="V94" i="11"/>
  <c r="E192" i="4"/>
  <c r="H192" i="4"/>
  <c r="F192" i="4"/>
  <c r="D192" i="4"/>
  <c r="G192" i="4"/>
  <c r="S192" i="4" s="1"/>
  <c r="J192" i="4"/>
  <c r="I192" i="4"/>
  <c r="G170" i="11"/>
  <c r="S141" i="11"/>
  <c r="W179" i="4"/>
  <c r="W309" i="1" s="1"/>
  <c r="U309" i="1"/>
  <c r="X156" i="4"/>
  <c r="X276" i="1"/>
  <c r="W78" i="2"/>
  <c r="W130" i="1" s="1"/>
  <c r="U130" i="1"/>
  <c r="S313" i="1"/>
  <c r="X183" i="4"/>
  <c r="X313" i="1" s="1"/>
  <c r="Y183" i="4"/>
  <c r="Y313" i="1" s="1"/>
  <c r="V183" i="4"/>
  <c r="V313" i="1" s="1"/>
  <c r="G324" i="11"/>
  <c r="S324" i="11" s="1"/>
  <c r="S295" i="11"/>
  <c r="W75" i="2"/>
  <c r="W127" i="1" s="1"/>
  <c r="U127" i="1"/>
  <c r="S312" i="1"/>
  <c r="X182" i="4"/>
  <c r="X312" i="1" s="1"/>
  <c r="Y182" i="4"/>
  <c r="Y312" i="1" s="1"/>
  <c r="V182" i="4"/>
  <c r="V312" i="1" s="1"/>
  <c r="V92" i="1"/>
  <c r="S194" i="1"/>
  <c r="X112" i="4"/>
  <c r="X194" i="1" s="1"/>
  <c r="Y112" i="4"/>
  <c r="Y194" i="1" s="1"/>
  <c r="V112" i="4"/>
  <c r="V194" i="1" s="1"/>
  <c r="G156" i="11"/>
  <c r="S127" i="11"/>
  <c r="J105" i="4"/>
  <c r="U107" i="4"/>
  <c r="G163" i="11"/>
  <c r="S134" i="11"/>
  <c r="W61" i="2"/>
  <c r="W100" i="1" s="1"/>
  <c r="U100" i="1"/>
  <c r="S126" i="1"/>
  <c r="X74" i="2"/>
  <c r="X126" i="1" s="1"/>
  <c r="Y74" i="2"/>
  <c r="Y126" i="1" s="1"/>
  <c r="V74" i="2"/>
  <c r="V126" i="1" s="1"/>
  <c r="V287" i="1"/>
  <c r="V75" i="5"/>
  <c r="V171" i="1"/>
  <c r="V43" i="5"/>
  <c r="G152" i="11"/>
  <c r="S123" i="11"/>
  <c r="X104" i="11"/>
  <c r="Y104" i="11"/>
  <c r="V104" i="11"/>
  <c r="S127" i="1"/>
  <c r="X75" i="2"/>
  <c r="X127" i="1" s="1"/>
  <c r="Y75" i="2"/>
  <c r="Y127" i="1" s="1"/>
  <c r="V75" i="2"/>
  <c r="V127" i="1" s="1"/>
  <c r="C104" i="2"/>
  <c r="D88" i="2"/>
  <c r="G88" i="2"/>
  <c r="S88" i="2" s="1"/>
  <c r="E88" i="2"/>
  <c r="H88" i="2"/>
  <c r="F88" i="2"/>
  <c r="J88" i="2"/>
  <c r="U88" i="2" s="1"/>
  <c r="I88" i="2"/>
  <c r="T88" i="2" s="1"/>
  <c r="Y92" i="1"/>
  <c r="S307" i="1"/>
  <c r="X177" i="4"/>
  <c r="X307" i="1" s="1"/>
  <c r="Y177" i="4"/>
  <c r="Y307" i="1" s="1"/>
  <c r="V177" i="4"/>
  <c r="V307" i="1" s="1"/>
  <c r="W117" i="4"/>
  <c r="W199" i="1" s="1"/>
  <c r="U199" i="1"/>
  <c r="S108" i="1"/>
  <c r="X62" i="4"/>
  <c r="X108" i="1" s="1"/>
  <c r="Y62" i="4"/>
  <c r="Y108" i="1" s="1"/>
  <c r="V62" i="4"/>
  <c r="V108" i="1" s="1"/>
  <c r="W181" i="4"/>
  <c r="W311" i="1" s="1"/>
  <c r="U311" i="1"/>
  <c r="W114" i="4"/>
  <c r="W196" i="1" s="1"/>
  <c r="U196" i="1"/>
  <c r="X109" i="11"/>
  <c r="Y109" i="11"/>
  <c r="V109" i="11"/>
  <c r="Y75" i="5"/>
  <c r="Y287" i="1"/>
  <c r="Y43" i="5"/>
  <c r="Y171" i="1"/>
  <c r="V200" i="1"/>
  <c r="V51" i="5"/>
  <c r="G196" i="4"/>
  <c r="S196" i="4" s="1"/>
  <c r="Z196" i="4" s="1"/>
  <c r="F196" i="4"/>
  <c r="E196" i="4"/>
  <c r="D196" i="4"/>
  <c r="H196" i="4"/>
  <c r="J196" i="4"/>
  <c r="U196" i="4" s="1"/>
  <c r="I196" i="4"/>
  <c r="T196" i="4" s="1"/>
  <c r="D200" i="4"/>
  <c r="G200" i="4"/>
  <c r="S200" i="4" s="1"/>
  <c r="E200" i="4"/>
  <c r="H200" i="4"/>
  <c r="F200" i="4"/>
  <c r="J200" i="4"/>
  <c r="U200" i="4" s="1"/>
  <c r="I200" i="4"/>
  <c r="T200" i="4" s="1"/>
  <c r="G162" i="11"/>
  <c r="S133" i="11"/>
  <c r="H76" i="2"/>
  <c r="C92" i="2"/>
  <c r="F76" i="2"/>
  <c r="G76" i="2"/>
  <c r="S76" i="2" s="1"/>
  <c r="D76" i="2"/>
  <c r="E76" i="2"/>
  <c r="J76" i="2"/>
  <c r="U76" i="2" s="1"/>
  <c r="I76" i="2"/>
  <c r="X100" i="11"/>
  <c r="Y100" i="11"/>
  <c r="V100" i="11"/>
  <c r="X51" i="2"/>
  <c r="X92" i="1"/>
  <c r="W112" i="4"/>
  <c r="W194" i="1" s="1"/>
  <c r="U194" i="1"/>
  <c r="U308" i="1"/>
  <c r="W178" i="4"/>
  <c r="W308" i="1" s="1"/>
  <c r="F90" i="2"/>
  <c r="E90" i="2"/>
  <c r="C106" i="2"/>
  <c r="G90" i="2"/>
  <c r="S90" i="2" s="1"/>
  <c r="H90" i="2"/>
  <c r="D90" i="2"/>
  <c r="J90" i="2"/>
  <c r="U90" i="2" s="1"/>
  <c r="I90" i="2"/>
  <c r="T90" i="2" s="1"/>
  <c r="G167" i="11"/>
  <c r="S138" i="11"/>
  <c r="X287" i="1"/>
  <c r="X75" i="5"/>
  <c r="X43" i="5"/>
  <c r="X171" i="1"/>
  <c r="Y200" i="1"/>
  <c r="Y51" i="5"/>
  <c r="S110" i="1"/>
  <c r="X64" i="4"/>
  <c r="X110" i="1" s="1"/>
  <c r="Y64" i="4"/>
  <c r="Y110" i="1" s="1"/>
  <c r="V64" i="4"/>
  <c r="V110" i="1" s="1"/>
  <c r="X99" i="11"/>
  <c r="Y99" i="11"/>
  <c r="V99" i="11"/>
  <c r="X106" i="11"/>
  <c r="Y106" i="11"/>
  <c r="V106" i="11"/>
  <c r="W61" i="4"/>
  <c r="W107" i="1" s="1"/>
  <c r="U107" i="1"/>
  <c r="S314" i="1"/>
  <c r="X184" i="4"/>
  <c r="X314" i="1" s="1"/>
  <c r="Y184" i="4"/>
  <c r="Y314" i="1" s="1"/>
  <c r="V184" i="4"/>
  <c r="V314" i="1" s="1"/>
  <c r="G158" i="11"/>
  <c r="S129" i="11"/>
  <c r="S51" i="2"/>
  <c r="S49" i="2" s="1"/>
  <c r="G195" i="4"/>
  <c r="S195" i="4" s="1"/>
  <c r="H195" i="4"/>
  <c r="D195" i="4"/>
  <c r="F195" i="4"/>
  <c r="E195" i="4"/>
  <c r="J195" i="4"/>
  <c r="U195" i="4" s="1"/>
  <c r="I195" i="4"/>
  <c r="T195" i="4" s="1"/>
  <c r="S199" i="1"/>
  <c r="X117" i="4"/>
  <c r="X199" i="1" s="1"/>
  <c r="Y117" i="4"/>
  <c r="Y199" i="1" s="1"/>
  <c r="V117" i="4"/>
  <c r="V199" i="1" s="1"/>
  <c r="W185" i="4"/>
  <c r="W315" i="1" s="1"/>
  <c r="U315" i="1"/>
  <c r="S100" i="1"/>
  <c r="X61" i="2"/>
  <c r="X100" i="1" s="1"/>
  <c r="Y61" i="2"/>
  <c r="Y100" i="1" s="1"/>
  <c r="V61" i="2"/>
  <c r="V100" i="1" s="1"/>
  <c r="D131" i="4"/>
  <c r="E131" i="4"/>
  <c r="H131" i="4"/>
  <c r="G131" i="4"/>
  <c r="S131" i="4" s="1"/>
  <c r="F131" i="4"/>
  <c r="J131" i="4"/>
  <c r="U131" i="4" s="1"/>
  <c r="I131" i="4"/>
  <c r="T131" i="4" s="1"/>
  <c r="V316" i="1"/>
  <c r="V83" i="5"/>
  <c r="X200" i="1"/>
  <c r="X51" i="5"/>
  <c r="S305" i="1"/>
  <c r="S173" i="4"/>
  <c r="S171" i="4" s="1"/>
  <c r="X175" i="4"/>
  <c r="Y175" i="4"/>
  <c r="V175" i="4"/>
  <c r="G157" i="11"/>
  <c r="S128" i="11"/>
  <c r="G164" i="11"/>
  <c r="S135" i="11"/>
  <c r="D94" i="2"/>
  <c r="C110" i="2"/>
  <c r="E94" i="2"/>
  <c r="H94" i="2"/>
  <c r="F94" i="2"/>
  <c r="G94" i="2"/>
  <c r="S94" i="2" s="1"/>
  <c r="Z94" i="2" s="1"/>
  <c r="Z159" i="1" s="1"/>
  <c r="J94" i="2"/>
  <c r="U94" i="2" s="1"/>
  <c r="I94" i="2"/>
  <c r="T94" i="2" s="1"/>
  <c r="W113" i="4"/>
  <c r="W195" i="1" s="1"/>
  <c r="U195" i="1"/>
  <c r="D201" i="4"/>
  <c r="F201" i="4"/>
  <c r="E201" i="4"/>
  <c r="H201" i="4"/>
  <c r="G201" i="4"/>
  <c r="S201" i="4" s="1"/>
  <c r="J201" i="4"/>
  <c r="U201" i="4" s="1"/>
  <c r="I201" i="4"/>
  <c r="T201" i="4" s="1"/>
  <c r="W63" i="4"/>
  <c r="W109" i="1" s="1"/>
  <c r="U109" i="1"/>
  <c r="S311" i="1"/>
  <c r="X181" i="4"/>
  <c r="X311" i="1" s="1"/>
  <c r="Y181" i="4"/>
  <c r="Y311" i="1" s="1"/>
  <c r="V181" i="4"/>
  <c r="V311" i="1" s="1"/>
  <c r="U307" i="1"/>
  <c r="W177" i="4"/>
  <c r="W307" i="1" s="1"/>
  <c r="H129" i="4"/>
  <c r="D129" i="4"/>
  <c r="G129" i="4"/>
  <c r="S129" i="4" s="1"/>
  <c r="F129" i="4"/>
  <c r="E129" i="4"/>
  <c r="J129" i="4"/>
  <c r="U129" i="4" s="1"/>
  <c r="I129" i="4"/>
  <c r="T129" i="4" s="1"/>
  <c r="S189" i="1"/>
  <c r="S105" i="4"/>
  <c r="S103" i="4" s="1"/>
  <c r="X107" i="4"/>
  <c r="Y107" i="4"/>
  <c r="V107" i="4"/>
  <c r="F198" i="4"/>
  <c r="H198" i="4"/>
  <c r="G198" i="4"/>
  <c r="S198" i="4" s="1"/>
  <c r="Z198" i="4" s="1"/>
  <c r="E198" i="4"/>
  <c r="D198" i="4"/>
  <c r="J198" i="4"/>
  <c r="U198" i="4" s="1"/>
  <c r="I198" i="4"/>
  <c r="T198" i="4" s="1"/>
  <c r="Y83" i="5"/>
  <c r="Y316" i="1"/>
  <c r="X114" i="11"/>
  <c r="Y114" i="11"/>
  <c r="V114" i="11"/>
  <c r="S130" i="1"/>
  <c r="X78" i="2"/>
  <c r="X130" i="1" s="1"/>
  <c r="Y78" i="2"/>
  <c r="Y130" i="1" s="1"/>
  <c r="V78" i="2"/>
  <c r="V130" i="1" s="1"/>
  <c r="F91" i="2"/>
  <c r="D91" i="2"/>
  <c r="C107" i="2"/>
  <c r="G91" i="2"/>
  <c r="S91" i="2" s="1"/>
  <c r="E91" i="2"/>
  <c r="H91" i="2"/>
  <c r="J91" i="2"/>
  <c r="U91" i="2" s="1"/>
  <c r="I91" i="2"/>
  <c r="T91" i="2" s="1"/>
  <c r="G42" i="10"/>
  <c r="G40" i="10" s="1"/>
  <c r="U56" i="4"/>
  <c r="J54" i="4"/>
  <c r="S308" i="1"/>
  <c r="X178" i="4"/>
  <c r="X308" i="1" s="1"/>
  <c r="Y178" i="4"/>
  <c r="Y308" i="1" s="1"/>
  <c r="V178" i="4"/>
  <c r="V308" i="1" s="1"/>
  <c r="F77" i="2"/>
  <c r="C93" i="2"/>
  <c r="H77" i="2"/>
  <c r="G77" i="2"/>
  <c r="S77" i="2" s="1"/>
  <c r="E77" i="2"/>
  <c r="D77" i="2"/>
  <c r="J77" i="2"/>
  <c r="U77" i="2" s="1"/>
  <c r="I77" i="2"/>
  <c r="T77" i="2" s="1"/>
  <c r="X83" i="5"/>
  <c r="X316" i="1"/>
  <c r="U105" i="1"/>
  <c r="W59" i="4"/>
  <c r="W105" i="1" s="1"/>
  <c r="S309" i="1"/>
  <c r="X179" i="4"/>
  <c r="X309" i="1" s="1"/>
  <c r="Y179" i="4"/>
  <c r="Y309" i="1" s="1"/>
  <c r="V179" i="4"/>
  <c r="V309" i="1" s="1"/>
  <c r="G172" i="11"/>
  <c r="S143" i="11"/>
  <c r="U69" i="2"/>
  <c r="J67" i="2"/>
  <c r="S195" i="1"/>
  <c r="X113" i="4"/>
  <c r="X195" i="1" s="1"/>
  <c r="Y113" i="4"/>
  <c r="Y195" i="1" s="1"/>
  <c r="V113" i="4"/>
  <c r="V195" i="1" s="1"/>
  <c r="W115" i="4"/>
  <c r="W197" i="1" s="1"/>
  <c r="U197" i="1"/>
  <c r="Z6" i="2"/>
  <c r="Z6" i="1" s="1"/>
  <c r="Z8" i="2"/>
  <c r="Z70" i="2"/>
  <c r="Z122" i="1" s="1"/>
  <c r="Z14" i="2"/>
  <c r="Z11" i="2"/>
  <c r="Z76" i="2"/>
  <c r="Z128" i="1" s="1"/>
  <c r="Z7" i="2"/>
  <c r="Z12" i="2"/>
  <c r="Z12" i="1" s="1"/>
  <c r="Z24" i="2"/>
  <c r="Z37" i="1" s="1"/>
  <c r="Z44" i="2"/>
  <c r="AC44" i="2" s="1"/>
  <c r="Z5" i="2"/>
  <c r="AC5" i="2" s="1"/>
  <c r="Z88" i="2"/>
  <c r="Z29" i="2"/>
  <c r="Z42" i="1" s="1"/>
  <c r="Z14" i="4"/>
  <c r="Z24" i="1" s="1"/>
  <c r="Z9" i="2"/>
  <c r="Z13" i="2"/>
  <c r="Z87" i="2"/>
  <c r="Z152" i="1" s="1"/>
  <c r="J101" i="11"/>
  <c r="U72" i="11"/>
  <c r="W72" i="11" s="1"/>
  <c r="J99" i="11"/>
  <c r="U70" i="11"/>
  <c r="W70" i="11" s="1"/>
  <c r="J97" i="11"/>
  <c r="U68" i="11"/>
  <c r="W68" i="11" s="1"/>
  <c r="I63" i="11"/>
  <c r="I32" i="11"/>
  <c r="T34" i="11"/>
  <c r="Z46" i="2"/>
  <c r="AC46" i="2" s="1"/>
  <c r="Z60" i="2"/>
  <c r="Z99" i="1" s="1"/>
  <c r="Z53" i="2"/>
  <c r="Z92" i="1" s="1"/>
  <c r="Z78" i="2"/>
  <c r="Z130" i="1" s="1"/>
  <c r="Z59" i="2"/>
  <c r="Z98" i="1" s="1"/>
  <c r="AC98" i="1" s="1"/>
  <c r="AD98" i="1" s="1"/>
  <c r="AF98" i="1" s="1"/>
  <c r="AG98" i="1" s="1"/>
  <c r="J103" i="11"/>
  <c r="U74" i="11"/>
  <c r="W74" i="11" s="1"/>
  <c r="J112" i="11"/>
  <c r="U83" i="11"/>
  <c r="W83" i="11" s="1"/>
  <c r="J110" i="11"/>
  <c r="U81" i="11"/>
  <c r="W81" i="11" s="1"/>
  <c r="J95" i="11"/>
  <c r="U66" i="11"/>
  <c r="W66" i="11" s="1"/>
  <c r="J105" i="11"/>
  <c r="U76" i="11"/>
  <c r="W76" i="11" s="1"/>
  <c r="Z25" i="2"/>
  <c r="AC25" i="2" s="1"/>
  <c r="Z28" i="2"/>
  <c r="AC28" i="2" s="1"/>
  <c r="Z37" i="2"/>
  <c r="Z45" i="2"/>
  <c r="AC45" i="2" s="1"/>
  <c r="Z62" i="2"/>
  <c r="Z101" i="1" s="1"/>
  <c r="AC101" i="1" s="1"/>
  <c r="AD101" i="1" s="1"/>
  <c r="AF101" i="1" s="1"/>
  <c r="AG101" i="1" s="1"/>
  <c r="Z42" i="2"/>
  <c r="J100" i="11"/>
  <c r="U71" i="11"/>
  <c r="W71" i="11" s="1"/>
  <c r="J113" i="11"/>
  <c r="U84" i="11"/>
  <c r="W84" i="11" s="1"/>
  <c r="J107" i="11"/>
  <c r="U78" i="11"/>
  <c r="W78" i="11" s="1"/>
  <c r="Z40" i="2"/>
  <c r="AC40" i="2" s="1"/>
  <c r="Z43" i="2"/>
  <c r="AC43" i="2" s="1"/>
  <c r="Z69" i="2"/>
  <c r="Z121" i="1" s="1"/>
  <c r="Z39" i="2"/>
  <c r="AC39" i="2" s="1"/>
  <c r="Z71" i="2"/>
  <c r="Z123" i="1" s="1"/>
  <c r="AC123" i="1" s="1"/>
  <c r="AD123" i="1" s="1"/>
  <c r="AF123" i="1" s="1"/>
  <c r="AG123" i="1" s="1"/>
  <c r="Z77" i="2"/>
  <c r="Z129" i="1" s="1"/>
  <c r="J104" i="11"/>
  <c r="U75" i="11"/>
  <c r="W75" i="11" s="1"/>
  <c r="J98" i="11"/>
  <c r="U69" i="11"/>
  <c r="W69" i="11" s="1"/>
  <c r="U32" i="11"/>
  <c r="W34" i="11"/>
  <c r="W32" i="11" s="1"/>
  <c r="Z73" i="2"/>
  <c r="Z125" i="1" s="1"/>
  <c r="Z75" i="2"/>
  <c r="Z127" i="1" s="1"/>
  <c r="Z21" i="2"/>
  <c r="Z34" i="1" s="1"/>
  <c r="Z72" i="2"/>
  <c r="Z124" i="1" s="1"/>
  <c r="J92" i="11"/>
  <c r="U63" i="11"/>
  <c r="J61" i="11"/>
  <c r="J109" i="11"/>
  <c r="U80" i="11"/>
  <c r="W80" i="11" s="1"/>
  <c r="J114" i="11"/>
  <c r="U85" i="11"/>
  <c r="W85" i="11" s="1"/>
  <c r="J94" i="11"/>
  <c r="U65" i="11"/>
  <c r="W65" i="11" s="1"/>
  <c r="Z56" i="2"/>
  <c r="Z95" i="1" s="1"/>
  <c r="AC95" i="1" s="1"/>
  <c r="AD95" i="1" s="1"/>
  <c r="AF95" i="1" s="1"/>
  <c r="AG95" i="1" s="1"/>
  <c r="J93" i="11"/>
  <c r="U64" i="11"/>
  <c r="W64" i="11" s="1"/>
  <c r="J111" i="11"/>
  <c r="U82" i="11"/>
  <c r="W82" i="11" s="1"/>
  <c r="Z85" i="2"/>
  <c r="Z150" i="1" s="1"/>
  <c r="Z57" i="2"/>
  <c r="Z96" i="1" s="1"/>
  <c r="AC96" i="1" s="1"/>
  <c r="AD96" i="1" s="1"/>
  <c r="AF96" i="1" s="1"/>
  <c r="AG96" i="1" s="1"/>
  <c r="Z30" i="2"/>
  <c r="Z43" i="1" s="1"/>
  <c r="J96" i="11"/>
  <c r="U67" i="11"/>
  <c r="W67" i="11" s="1"/>
  <c r="J102" i="11"/>
  <c r="U73" i="11"/>
  <c r="W73" i="11" s="1"/>
  <c r="J108" i="11"/>
  <c r="U79" i="11"/>
  <c r="W79" i="11" s="1"/>
  <c r="J106" i="11"/>
  <c r="U77" i="11"/>
  <c r="W77" i="11" s="1"/>
  <c r="Z22" i="2"/>
  <c r="Z35" i="1" s="1"/>
  <c r="Z23" i="2"/>
  <c r="Z36" i="1" s="1"/>
  <c r="Z65" i="1" s="1"/>
  <c r="Z55" i="2"/>
  <c r="Z94" i="1" s="1"/>
  <c r="AC94" i="1" s="1"/>
  <c r="AD94" i="1" s="1"/>
  <c r="AF94" i="1" s="1"/>
  <c r="AG94" i="1" s="1"/>
  <c r="Z26" i="2"/>
  <c r="AC26" i="2" s="1"/>
  <c r="Z74" i="2"/>
  <c r="Z126" i="1" s="1"/>
  <c r="Z27" i="2"/>
  <c r="Z40" i="1" s="1"/>
  <c r="Z69" i="1" s="1"/>
  <c r="AC69" i="1" s="1"/>
  <c r="AD69" i="1" s="1"/>
  <c r="AF69" i="1" s="1"/>
  <c r="AG69" i="1" s="1"/>
  <c r="Z86" i="2"/>
  <c r="Z151" i="1" s="1"/>
  <c r="Z54" i="2"/>
  <c r="Z93" i="1" s="1"/>
  <c r="AC93" i="1" s="1"/>
  <c r="AD93" i="1" s="1"/>
  <c r="AF93" i="1" s="1"/>
  <c r="AG93" i="1" s="1"/>
  <c r="AC125" i="1"/>
  <c r="AD125" i="1" s="1"/>
  <c r="AF125" i="1" s="1"/>
  <c r="AG125" i="1" s="1"/>
  <c r="Z89" i="2"/>
  <c r="Z154" i="1" s="1"/>
  <c r="Z38" i="2"/>
  <c r="Z90" i="2"/>
  <c r="Z58" i="2"/>
  <c r="Z97" i="1" s="1"/>
  <c r="AC97" i="1" s="1"/>
  <c r="AD97" i="1" s="1"/>
  <c r="AF97" i="1" s="1"/>
  <c r="AG97" i="1" s="1"/>
  <c r="Z41" i="2"/>
  <c r="AC41" i="2" s="1"/>
  <c r="Z124" i="4"/>
  <c r="Z218" i="1" s="1"/>
  <c r="Z161" i="4"/>
  <c r="Z279" i="1" s="1"/>
  <c r="AC279" i="1" s="1"/>
  <c r="AD279" i="1" s="1"/>
  <c r="AF279" i="1" s="1"/>
  <c r="AG279" i="1" s="1"/>
  <c r="Z145" i="4"/>
  <c r="Z251" i="1" s="1"/>
  <c r="AC251" i="1" s="1"/>
  <c r="AD251" i="1" s="1"/>
  <c r="AF251" i="1" s="1"/>
  <c r="AG251" i="1" s="1"/>
  <c r="Z109" i="4"/>
  <c r="Z191" i="1" s="1"/>
  <c r="AC191" i="1" s="1"/>
  <c r="AD191" i="1" s="1"/>
  <c r="AF191" i="1" s="1"/>
  <c r="AG191" i="1" s="1"/>
  <c r="Z56" i="4"/>
  <c r="Z102" i="1" s="1"/>
  <c r="Z61" i="2"/>
  <c r="AC61" i="2" s="1"/>
  <c r="Z95" i="4"/>
  <c r="Z165" i="1" s="1"/>
  <c r="AC165" i="1" s="1"/>
  <c r="AD165" i="1" s="1"/>
  <c r="AF165" i="1" s="1"/>
  <c r="AG165" i="1" s="1"/>
  <c r="J148" i="1"/>
  <c r="T8" i="1"/>
  <c r="Z90" i="4"/>
  <c r="Z160" i="1" s="1"/>
  <c r="AA9" i="4"/>
  <c r="AA19" i="1" s="1"/>
  <c r="Z108" i="4"/>
  <c r="Z190" i="1" s="1"/>
  <c r="Z31" i="4"/>
  <c r="Z53" i="1" s="1"/>
  <c r="Z82" i="1" s="1"/>
  <c r="AC82" i="1" s="1"/>
  <c r="AD82" i="1" s="1"/>
  <c r="AF82" i="1" s="1"/>
  <c r="AG82" i="1" s="1"/>
  <c r="Z78" i="5"/>
  <c r="Z288" i="1" s="1"/>
  <c r="AC288" i="1" s="1"/>
  <c r="AD288" i="1" s="1"/>
  <c r="AF288" i="1" s="1"/>
  <c r="AG288" i="1" s="1"/>
  <c r="W3" i="5"/>
  <c r="Z54" i="5"/>
  <c r="Z201" i="1" s="1"/>
  <c r="AC201" i="1" s="1"/>
  <c r="AD201" i="1" s="1"/>
  <c r="AF201" i="1" s="1"/>
  <c r="AG201" i="1" s="1"/>
  <c r="U32" i="1"/>
  <c r="Z64" i="4"/>
  <c r="Z46" i="5"/>
  <c r="Z172" i="1" s="1"/>
  <c r="AC172" i="1" s="1"/>
  <c r="AD172" i="1" s="1"/>
  <c r="AF172" i="1" s="1"/>
  <c r="AG172" i="1" s="1"/>
  <c r="Z151" i="4"/>
  <c r="Z257" i="1" s="1"/>
  <c r="AC257" i="1" s="1"/>
  <c r="AD257" i="1" s="1"/>
  <c r="AF257" i="1" s="1"/>
  <c r="AG257" i="1" s="1"/>
  <c r="Z22" i="5"/>
  <c r="AC22" i="5" s="1"/>
  <c r="Z21" i="5"/>
  <c r="Z55" i="1"/>
  <c r="Z84" i="1" s="1"/>
  <c r="W83" i="5"/>
  <c r="W316" i="1"/>
  <c r="Z12" i="4"/>
  <c r="Z22" i="1" s="1"/>
  <c r="W55" i="1"/>
  <c r="W11" i="5"/>
  <c r="Z192" i="4"/>
  <c r="Z334" i="1" s="1"/>
  <c r="Z128" i="4"/>
  <c r="Z112" i="4"/>
  <c r="Z114" i="4"/>
  <c r="Z178" i="4"/>
  <c r="Z107" i="4"/>
  <c r="Z189" i="1" s="1"/>
  <c r="Z164" i="4"/>
  <c r="Z141" i="4"/>
  <c r="Z30" i="4"/>
  <c r="Z97" i="4"/>
  <c r="Z74" i="4"/>
  <c r="Z48" i="4"/>
  <c r="AC48" i="4" s="1"/>
  <c r="Z49" i="4"/>
  <c r="AC49" i="4" s="1"/>
  <c r="Z45" i="4"/>
  <c r="AC45" i="4" s="1"/>
  <c r="Z30" i="5"/>
  <c r="Z70" i="5"/>
  <c r="Z14" i="5"/>
  <c r="T258" i="1"/>
  <c r="T67" i="5"/>
  <c r="AA69" i="5"/>
  <c r="W35" i="5"/>
  <c r="W142" i="1"/>
  <c r="T34" i="1"/>
  <c r="T19" i="2"/>
  <c r="AA21" i="2"/>
  <c r="AC38" i="2"/>
  <c r="T142" i="1"/>
  <c r="T35" i="5"/>
  <c r="AA37" i="5"/>
  <c r="W75" i="5"/>
  <c r="W287" i="1"/>
  <c r="Z32" i="4"/>
  <c r="T189" i="1"/>
  <c r="T105" i="4"/>
  <c r="AA107" i="4"/>
  <c r="T44" i="1"/>
  <c r="T20" i="4"/>
  <c r="AA22" i="4"/>
  <c r="AC46" i="5"/>
  <c r="Z133" i="4"/>
  <c r="Z132" i="4"/>
  <c r="Z116" i="4"/>
  <c r="Z179" i="4"/>
  <c r="Z176" i="4"/>
  <c r="Z177" i="4"/>
  <c r="Z113" i="4"/>
  <c r="Z159" i="4"/>
  <c r="Z22" i="4"/>
  <c r="Z66" i="4"/>
  <c r="Z83" i="4"/>
  <c r="Z167" i="4"/>
  <c r="Z39" i="4"/>
  <c r="Z73" i="4"/>
  <c r="Z81" i="4"/>
  <c r="Z61" i="5"/>
  <c r="Z69" i="5"/>
  <c r="W71" i="4"/>
  <c r="W131" i="1"/>
  <c r="T345" i="1"/>
  <c r="T91" i="5"/>
  <c r="AA93" i="5"/>
  <c r="T287" i="1"/>
  <c r="T75" i="5"/>
  <c r="AA77" i="5"/>
  <c r="Z153" i="1"/>
  <c r="W43" i="5"/>
  <c r="W171" i="1"/>
  <c r="T55" i="1"/>
  <c r="T11" i="5"/>
  <c r="AA13" i="5"/>
  <c r="AC13" i="5" s="1"/>
  <c r="Z193" i="4"/>
  <c r="Z185" i="4"/>
  <c r="Z65" i="4"/>
  <c r="Z60" i="4"/>
  <c r="Z166" i="4"/>
  <c r="Z110" i="4"/>
  <c r="Z144" i="4"/>
  <c r="Z42" i="4"/>
  <c r="Z78" i="4"/>
  <c r="Z163" i="4"/>
  <c r="Z96" i="4"/>
  <c r="Z76" i="4"/>
  <c r="Z150" i="4"/>
  <c r="Z146" i="4"/>
  <c r="Z5" i="5"/>
  <c r="Z6" i="5"/>
  <c r="Z27" i="1" s="1"/>
  <c r="W37" i="4"/>
  <c r="T121" i="1"/>
  <c r="AA69" i="2"/>
  <c r="T63" i="1"/>
  <c r="T35" i="2"/>
  <c r="AA37" i="2"/>
  <c r="AA35" i="2" s="1"/>
  <c r="W276" i="1"/>
  <c r="W156" i="4"/>
  <c r="W51" i="5"/>
  <c r="W200" i="1"/>
  <c r="T160" i="1"/>
  <c r="T88" i="4"/>
  <c r="AA90" i="4"/>
  <c r="T276" i="1"/>
  <c r="T156" i="4"/>
  <c r="AA158" i="4"/>
  <c r="Z38" i="1"/>
  <c r="Z41" i="1"/>
  <c r="W67" i="5"/>
  <c r="W258" i="1"/>
  <c r="T113" i="1"/>
  <c r="T27" i="5"/>
  <c r="AA29" i="5"/>
  <c r="W27" i="5"/>
  <c r="W113" i="1"/>
  <c r="Z15" i="4"/>
  <c r="Z25" i="1" s="1"/>
  <c r="T131" i="1"/>
  <c r="T71" i="4"/>
  <c r="AA73" i="4"/>
  <c r="Z5" i="4"/>
  <c r="Z15" i="1" s="1"/>
  <c r="Z11" i="4"/>
  <c r="Z21" i="1" s="1"/>
  <c r="J61" i="1"/>
  <c r="W139" i="4"/>
  <c r="W247" i="1"/>
  <c r="Z131" i="4"/>
  <c r="Z195" i="4"/>
  <c r="Z183" i="4"/>
  <c r="Z61" i="4"/>
  <c r="Z111" i="4"/>
  <c r="Z184" i="4"/>
  <c r="Z168" i="4"/>
  <c r="Z149" i="4"/>
  <c r="Z59" i="4"/>
  <c r="Z100" i="4"/>
  <c r="Z25" i="4"/>
  <c r="Z91" i="4"/>
  <c r="Z142" i="4"/>
  <c r="Z143" i="4"/>
  <c r="Z43" i="4"/>
  <c r="AC43" i="4" s="1"/>
  <c r="Z93" i="5"/>
  <c r="Z345" i="1" s="1"/>
  <c r="Z37" i="5"/>
  <c r="T247" i="1"/>
  <c r="T139" i="4"/>
  <c r="AA141" i="4"/>
  <c r="T229" i="1"/>
  <c r="T59" i="5"/>
  <c r="AA61" i="5"/>
  <c r="Z7" i="4"/>
  <c r="J119" i="1"/>
  <c r="T171" i="1"/>
  <c r="T43" i="5"/>
  <c r="AA45" i="5"/>
  <c r="Z134" i="4"/>
  <c r="Z127" i="4"/>
  <c r="Z99" i="4"/>
  <c r="Z182" i="4"/>
  <c r="Z57" i="4"/>
  <c r="Z26" i="4"/>
  <c r="Z29" i="4"/>
  <c r="Z94" i="4"/>
  <c r="Z93" i="4"/>
  <c r="Z58" i="4"/>
  <c r="Z148" i="4"/>
  <c r="Z47" i="4"/>
  <c r="AC47" i="4" s="1"/>
  <c r="Z24" i="4"/>
  <c r="Z41" i="4"/>
  <c r="AC41" i="4" s="1"/>
  <c r="Z94" i="5"/>
  <c r="Z86" i="5"/>
  <c r="Z38" i="5"/>
  <c r="T102" i="1"/>
  <c r="T54" i="4"/>
  <c r="AA56" i="4"/>
  <c r="W35" i="2"/>
  <c r="AC42" i="2"/>
  <c r="Z27" i="4"/>
  <c r="Z13" i="4"/>
  <c r="Z23" i="1" s="1"/>
  <c r="Z8" i="4"/>
  <c r="W19" i="5"/>
  <c r="V61" i="1"/>
  <c r="T316" i="1"/>
  <c r="T83" i="5"/>
  <c r="AA85" i="5"/>
  <c r="Z130" i="4"/>
  <c r="Z199" i="4"/>
  <c r="Z180" i="4"/>
  <c r="Z115" i="4"/>
  <c r="Z117" i="4"/>
  <c r="Z147" i="4"/>
  <c r="Z75" i="4"/>
  <c r="Z82" i="4"/>
  <c r="Z162" i="4"/>
  <c r="Z46" i="4"/>
  <c r="AC46" i="4" s="1"/>
  <c r="Z160" i="4"/>
  <c r="Z44" i="4"/>
  <c r="AC44" i="4" s="1"/>
  <c r="Z28" i="4"/>
  <c r="Z77" i="4"/>
  <c r="Z62" i="5"/>
  <c r="Z29" i="5"/>
  <c r="Z85" i="5"/>
  <c r="Z316" i="1" s="1"/>
  <c r="U61" i="1"/>
  <c r="T92" i="1"/>
  <c r="T51" i="2"/>
  <c r="AA53" i="2"/>
  <c r="T73" i="1"/>
  <c r="T37" i="4"/>
  <c r="AA39" i="4"/>
  <c r="AA37" i="4" s="1"/>
  <c r="T84" i="1"/>
  <c r="T19" i="5"/>
  <c r="AA21" i="5"/>
  <c r="AA19" i="5" s="1"/>
  <c r="AC65" i="1"/>
  <c r="AD65" i="1" s="1"/>
  <c r="AF65" i="1" s="1"/>
  <c r="AG65" i="1" s="1"/>
  <c r="W44" i="1"/>
  <c r="W20" i="4"/>
  <c r="Z9" i="4"/>
  <c r="Z6" i="4"/>
  <c r="Z16" i="1" s="1"/>
  <c r="T305" i="1"/>
  <c r="T173" i="4"/>
  <c r="AA175" i="4"/>
  <c r="Z202" i="4"/>
  <c r="Z129" i="4"/>
  <c r="Z201" i="4"/>
  <c r="Z194" i="4"/>
  <c r="Z175" i="4"/>
  <c r="Z305" i="1" s="1"/>
  <c r="Z181" i="4"/>
  <c r="Z92" i="4"/>
  <c r="Z63" i="4"/>
  <c r="Z79" i="4"/>
  <c r="Z165" i="4"/>
  <c r="Z62" i="4"/>
  <c r="Z98" i="4"/>
  <c r="Z80" i="4"/>
  <c r="Z158" i="4"/>
  <c r="Z276" i="1" s="1"/>
  <c r="Z23" i="4"/>
  <c r="Z40" i="4"/>
  <c r="AC40" i="4" s="1"/>
  <c r="Z77" i="5"/>
  <c r="Z45" i="5"/>
  <c r="Z53" i="5"/>
  <c r="Z200" i="1" s="1"/>
  <c r="W92" i="1"/>
  <c r="T200" i="1"/>
  <c r="T51" i="5"/>
  <c r="AA53" i="5"/>
  <c r="W19" i="2"/>
  <c r="W34" i="1"/>
  <c r="W160" i="1"/>
  <c r="W88" i="4"/>
  <c r="J208" i="1"/>
  <c r="J237" i="1" s="1"/>
  <c r="J177" i="1"/>
  <c r="I32" i="1"/>
  <c r="I65" i="1"/>
  <c r="I94" i="1" s="1"/>
  <c r="I123" i="1" s="1"/>
  <c r="I152" i="1" s="1"/>
  <c r="I181" i="1" s="1"/>
  <c r="I121" i="1"/>
  <c r="J90" i="1"/>
  <c r="J240" i="1"/>
  <c r="J269" i="1" s="1"/>
  <c r="J298" i="1" s="1"/>
  <c r="J327" i="1" s="1"/>
  <c r="X3" i="1"/>
  <c r="T3" i="5"/>
  <c r="AA6" i="5"/>
  <c r="AA27" i="1" s="1"/>
  <c r="AA11" i="2"/>
  <c r="AC11" i="2" s="1"/>
  <c r="AA12" i="4"/>
  <c r="Y3" i="1"/>
  <c r="S1" i="11"/>
  <c r="Z8" i="11" s="1"/>
  <c r="AC8" i="11" s="1"/>
  <c r="AI8" i="11" s="1"/>
  <c r="Z13" i="1"/>
  <c r="AA8" i="1"/>
  <c r="Z14" i="1"/>
  <c r="AA9" i="1"/>
  <c r="AA12" i="1"/>
  <c r="AA5" i="5"/>
  <c r="T3" i="11"/>
  <c r="Z7" i="1"/>
  <c r="Z8" i="1"/>
  <c r="W8" i="1"/>
  <c r="W3" i="11"/>
  <c r="Z11" i="1"/>
  <c r="W9" i="1"/>
  <c r="Y3" i="11"/>
  <c r="AC9" i="2"/>
  <c r="V3" i="1"/>
  <c r="E42" i="10" s="1"/>
  <c r="E67" i="10" s="1"/>
  <c r="T6" i="1"/>
  <c r="AA6" i="2"/>
  <c r="T17" i="1"/>
  <c r="AA7" i="4"/>
  <c r="AC8" i="2"/>
  <c r="T18" i="1"/>
  <c r="AA8" i="4"/>
  <c r="T14" i="1"/>
  <c r="AA14" i="2"/>
  <c r="T13" i="1"/>
  <c r="AA13" i="2"/>
  <c r="T10" i="1"/>
  <c r="AA10" i="2"/>
  <c r="Z5" i="1"/>
  <c r="T7" i="1"/>
  <c r="AA7" i="2"/>
  <c r="T21" i="1"/>
  <c r="AA11" i="4"/>
  <c r="T20" i="1"/>
  <c r="AA10" i="4"/>
  <c r="AA5" i="1"/>
  <c r="T25" i="1"/>
  <c r="AA15" i="4"/>
  <c r="T24" i="1"/>
  <c r="AA14" i="4"/>
  <c r="T23" i="1"/>
  <c r="AA13" i="4"/>
  <c r="T16" i="1"/>
  <c r="AA6" i="4"/>
  <c r="T15" i="1"/>
  <c r="AA5" i="4"/>
  <c r="Z18" i="1"/>
  <c r="I3" i="1"/>
  <c r="T3" i="4"/>
  <c r="T3" i="2"/>
  <c r="Z9" i="1"/>
  <c r="W7" i="1"/>
  <c r="W12" i="1"/>
  <c r="W11" i="1"/>
  <c r="W10" i="1"/>
  <c r="W17" i="1"/>
  <c r="W14" i="1"/>
  <c r="W20" i="1"/>
  <c r="W15" i="1"/>
  <c r="W3" i="4"/>
  <c r="W18" i="1"/>
  <c r="W6" i="1"/>
  <c r="W3" i="2"/>
  <c r="W22" i="1"/>
  <c r="W24" i="1"/>
  <c r="U3" i="1"/>
  <c r="W16" i="1"/>
  <c r="AC77" i="5" l="1"/>
  <c r="AC64" i="4"/>
  <c r="AC108" i="4"/>
  <c r="AC145" i="4"/>
  <c r="AC130" i="1"/>
  <c r="AD130" i="1" s="1"/>
  <c r="AF130" i="1" s="1"/>
  <c r="AG130" i="1" s="1"/>
  <c r="AC74" i="2"/>
  <c r="AC126" i="1"/>
  <c r="AD126" i="1" s="1"/>
  <c r="AF126" i="1" s="1"/>
  <c r="AG126" i="1" s="1"/>
  <c r="S90" i="1"/>
  <c r="S88" i="1" s="1"/>
  <c r="Y51" i="2"/>
  <c r="G67" i="10"/>
  <c r="G62" i="10" s="1"/>
  <c r="Z124" i="11"/>
  <c r="Z76" i="11"/>
  <c r="Z67" i="11"/>
  <c r="AC67" i="11" s="1"/>
  <c r="AD67" i="11" s="1"/>
  <c r="AF67" i="11" s="1"/>
  <c r="AG67" i="11" s="1"/>
  <c r="Z66" i="11"/>
  <c r="AC66" i="11" s="1"/>
  <c r="AD66" i="11" s="1"/>
  <c r="AF66" i="11" s="1"/>
  <c r="AG66" i="11" s="1"/>
  <c r="Z101" i="11"/>
  <c r="Z266" i="11"/>
  <c r="X135" i="11"/>
  <c r="Y135" i="11"/>
  <c r="V135" i="11"/>
  <c r="AA90" i="2"/>
  <c r="AA155" i="1" s="1"/>
  <c r="T155" i="1"/>
  <c r="W60" i="2"/>
  <c r="U99" i="1"/>
  <c r="U51" i="2"/>
  <c r="AA130" i="4"/>
  <c r="AA224" i="1" s="1"/>
  <c r="T224" i="1"/>
  <c r="T222" i="1"/>
  <c r="AA128" i="4"/>
  <c r="AA222" i="1" s="1"/>
  <c r="AC73" i="2"/>
  <c r="AC127" i="1"/>
  <c r="AD127" i="1" s="1"/>
  <c r="AF127" i="1" s="1"/>
  <c r="AG127" i="1" s="1"/>
  <c r="S343" i="1"/>
  <c r="X201" i="4"/>
  <c r="X343" i="1" s="1"/>
  <c r="Y201" i="4"/>
  <c r="Y343" i="1" s="1"/>
  <c r="V201" i="4"/>
  <c r="V343" i="1" s="1"/>
  <c r="G193" i="11"/>
  <c r="S164" i="11"/>
  <c r="U155" i="1"/>
  <c r="W90" i="2"/>
  <c r="W155" i="1" s="1"/>
  <c r="T76" i="2"/>
  <c r="I67" i="2"/>
  <c r="X123" i="11"/>
  <c r="Y123" i="11"/>
  <c r="V123" i="11"/>
  <c r="X127" i="11"/>
  <c r="Y127" i="11"/>
  <c r="V127" i="11"/>
  <c r="S152" i="1"/>
  <c r="X87" i="2"/>
  <c r="X152" i="1" s="1"/>
  <c r="Y87" i="2"/>
  <c r="Y152" i="1" s="1"/>
  <c r="V87" i="2"/>
  <c r="V152" i="1" s="1"/>
  <c r="AC152" i="1" s="1"/>
  <c r="AD152" i="1" s="1"/>
  <c r="AF152" i="1" s="1"/>
  <c r="AG152" i="1" s="1"/>
  <c r="T151" i="1"/>
  <c r="AA86" i="2"/>
  <c r="AA151" i="1" s="1"/>
  <c r="S219" i="1"/>
  <c r="X125" i="4"/>
  <c r="X219" i="1" s="1"/>
  <c r="Y125" i="4"/>
  <c r="Y219" i="1" s="1"/>
  <c r="V125" i="4"/>
  <c r="V219" i="1" s="1"/>
  <c r="V91" i="5"/>
  <c r="V345" i="1"/>
  <c r="W130" i="4"/>
  <c r="W224" i="1" s="1"/>
  <c r="U224" i="1"/>
  <c r="W128" i="4"/>
  <c r="W222" i="1" s="1"/>
  <c r="U222" i="1"/>
  <c r="X128" i="11"/>
  <c r="Y128" i="11"/>
  <c r="V128" i="11"/>
  <c r="W76" i="2"/>
  <c r="W128" i="1" s="1"/>
  <c r="U128" i="1"/>
  <c r="AA196" i="4"/>
  <c r="AA338" i="1" s="1"/>
  <c r="T338" i="1"/>
  <c r="T153" i="1"/>
  <c r="AA88" i="2"/>
  <c r="AA153" i="1" s="1"/>
  <c r="G181" i="11"/>
  <c r="S152" i="11"/>
  <c r="G185" i="11"/>
  <c r="S156" i="11"/>
  <c r="X132" i="11"/>
  <c r="Y132" i="11"/>
  <c r="V132" i="11"/>
  <c r="AA89" i="2"/>
  <c r="AA154" i="1" s="1"/>
  <c r="AC154" i="1" s="1"/>
  <c r="AD154" i="1" s="1"/>
  <c r="AF154" i="1" s="1"/>
  <c r="AG154" i="1" s="1"/>
  <c r="T154" i="1"/>
  <c r="X136" i="11"/>
  <c r="Y136" i="11"/>
  <c r="V136" i="11"/>
  <c r="AA193" i="4"/>
  <c r="AA335" i="1" s="1"/>
  <c r="T335" i="1"/>
  <c r="U151" i="1"/>
  <c r="W86" i="2"/>
  <c r="W151" i="1" s="1"/>
  <c r="Y91" i="5"/>
  <c r="Y345" i="1"/>
  <c r="AA134" i="4"/>
  <c r="AA228" i="1" s="1"/>
  <c r="T228" i="1"/>
  <c r="G194" i="11"/>
  <c r="S165" i="11"/>
  <c r="X142" i="11"/>
  <c r="Y142" i="11"/>
  <c r="V142" i="11"/>
  <c r="I38" i="10"/>
  <c r="W193" i="4"/>
  <c r="W335" i="1" s="1"/>
  <c r="U335" i="1"/>
  <c r="X345" i="1"/>
  <c r="X91" i="5"/>
  <c r="S222" i="1"/>
  <c r="X128" i="4"/>
  <c r="X222" i="1" s="1"/>
  <c r="Y128" i="4"/>
  <c r="Y222" i="1" s="1"/>
  <c r="V128" i="4"/>
  <c r="V222" i="1" s="1"/>
  <c r="W134" i="4"/>
  <c r="W228" i="1" s="1"/>
  <c r="U228" i="1"/>
  <c r="W77" i="2"/>
  <c r="W129" i="1" s="1"/>
  <c r="U129" i="1"/>
  <c r="U340" i="1"/>
  <c r="W198" i="4"/>
  <c r="W340" i="1" s="1"/>
  <c r="V305" i="1"/>
  <c r="V173" i="4"/>
  <c r="S337" i="1"/>
  <c r="X195" i="4"/>
  <c r="X337" i="1" s="1"/>
  <c r="Y195" i="4"/>
  <c r="Y337" i="1" s="1"/>
  <c r="V195" i="4"/>
  <c r="V337" i="1" s="1"/>
  <c r="S155" i="1"/>
  <c r="X90" i="2"/>
  <c r="X155" i="1" s="1"/>
  <c r="Y90" i="2"/>
  <c r="Y155" i="1" s="1"/>
  <c r="V90" i="2"/>
  <c r="V155" i="1" s="1"/>
  <c r="U124" i="4"/>
  <c r="J122" i="4"/>
  <c r="U229" i="1"/>
  <c r="U59" i="5"/>
  <c r="W61" i="5"/>
  <c r="D103" i="2"/>
  <c r="C119" i="2"/>
  <c r="F103" i="2"/>
  <c r="E103" i="2"/>
  <c r="G103" i="2"/>
  <c r="S103" i="2" s="1"/>
  <c r="H103" i="2"/>
  <c r="J103" i="2"/>
  <c r="U103" i="2" s="1"/>
  <c r="I103" i="2"/>
  <c r="T103" i="2" s="1"/>
  <c r="AA199" i="4"/>
  <c r="AA341" i="1" s="1"/>
  <c r="T341" i="1"/>
  <c r="G200" i="11"/>
  <c r="S171" i="11"/>
  <c r="Z171" i="11" s="1"/>
  <c r="T85" i="2"/>
  <c r="V54" i="4"/>
  <c r="V102" i="1"/>
  <c r="V90" i="1" s="1"/>
  <c r="X137" i="11"/>
  <c r="Y137" i="11"/>
  <c r="V137" i="11"/>
  <c r="S224" i="1"/>
  <c r="X130" i="4"/>
  <c r="X224" i="1" s="1"/>
  <c r="Y130" i="4"/>
  <c r="Y224" i="1" s="1"/>
  <c r="V130" i="4"/>
  <c r="V224" i="1" s="1"/>
  <c r="T156" i="1"/>
  <c r="AA91" i="2"/>
  <c r="AA156" i="1" s="1"/>
  <c r="AA77" i="2"/>
  <c r="AA129" i="1" s="1"/>
  <c r="T129" i="1"/>
  <c r="S223" i="1"/>
  <c r="X129" i="4"/>
  <c r="X223" i="1" s="1"/>
  <c r="Y129" i="4"/>
  <c r="Y223" i="1" s="1"/>
  <c r="V129" i="4"/>
  <c r="V223" i="1" s="1"/>
  <c r="W89" i="2"/>
  <c r="W154" i="1" s="1"/>
  <c r="U154" i="1"/>
  <c r="Y305" i="1"/>
  <c r="Y173" i="4"/>
  <c r="F106" i="2"/>
  <c r="G106" i="2"/>
  <c r="S106" i="2" s="1"/>
  <c r="E106" i="2"/>
  <c r="C122" i="2"/>
  <c r="H106" i="2"/>
  <c r="D106" i="2"/>
  <c r="J106" i="2"/>
  <c r="U106" i="2" s="1"/>
  <c r="I106" i="2"/>
  <c r="T106" i="2" s="1"/>
  <c r="S128" i="1"/>
  <c r="X76" i="2"/>
  <c r="X128" i="1" s="1"/>
  <c r="Y76" i="2"/>
  <c r="Y128" i="1" s="1"/>
  <c r="V76" i="2"/>
  <c r="U341" i="1"/>
  <c r="W199" i="4"/>
  <c r="W341" i="1" s="1"/>
  <c r="T221" i="1"/>
  <c r="AA127" i="4"/>
  <c r="AA221" i="1" s="1"/>
  <c r="U85" i="2"/>
  <c r="F102" i="2"/>
  <c r="E102" i="2"/>
  <c r="C118" i="2"/>
  <c r="H102" i="2"/>
  <c r="G102" i="2"/>
  <c r="S102" i="2" s="1"/>
  <c r="D102" i="2"/>
  <c r="J102" i="2"/>
  <c r="U102" i="2" s="1"/>
  <c r="I102" i="2"/>
  <c r="T102" i="2" s="1"/>
  <c r="Y102" i="1"/>
  <c r="Y90" i="1" s="1"/>
  <c r="Y54" i="4"/>
  <c r="G195" i="11"/>
  <c r="S166" i="11"/>
  <c r="S228" i="1"/>
  <c r="X134" i="4"/>
  <c r="X228" i="1" s="1"/>
  <c r="Y134" i="4"/>
  <c r="Y228" i="1" s="1"/>
  <c r="V134" i="4"/>
  <c r="V228" i="1" s="1"/>
  <c r="W129" i="4"/>
  <c r="W223" i="1" s="1"/>
  <c r="U223" i="1"/>
  <c r="S342" i="1"/>
  <c r="X200" i="4"/>
  <c r="X342" i="1" s="1"/>
  <c r="Y200" i="4"/>
  <c r="Y342" i="1" s="1"/>
  <c r="V200" i="4"/>
  <c r="V342" i="1" s="1"/>
  <c r="W91" i="2"/>
  <c r="W156" i="1" s="1"/>
  <c r="U156" i="1"/>
  <c r="G186" i="11"/>
  <c r="S157" i="11"/>
  <c r="W196" i="4"/>
  <c r="W338" i="1" s="1"/>
  <c r="U338" i="1"/>
  <c r="W88" i="2"/>
  <c r="W153" i="1" s="1"/>
  <c r="U153" i="1"/>
  <c r="Z200" i="4"/>
  <c r="Z342" i="1" s="1"/>
  <c r="S156" i="1"/>
  <c r="X91" i="2"/>
  <c r="X156" i="1" s="1"/>
  <c r="Y91" i="2"/>
  <c r="Y156" i="1" s="1"/>
  <c r="V91" i="2"/>
  <c r="V156" i="1" s="1"/>
  <c r="X173" i="4"/>
  <c r="X305" i="1"/>
  <c r="X129" i="11"/>
  <c r="Y129" i="11"/>
  <c r="V129" i="11"/>
  <c r="W127" i="4"/>
  <c r="W221" i="1" s="1"/>
  <c r="U221" i="1"/>
  <c r="S335" i="1"/>
  <c r="X193" i="4"/>
  <c r="X335" i="1" s="1"/>
  <c r="Y193" i="4"/>
  <c r="Y335" i="1" s="1"/>
  <c r="V193" i="4"/>
  <c r="V335" i="1" s="1"/>
  <c r="X54" i="4"/>
  <c r="X102" i="1"/>
  <c r="W56" i="4"/>
  <c r="AC56" i="4" s="1"/>
  <c r="U102" i="1"/>
  <c r="U54" i="4"/>
  <c r="S225" i="1"/>
  <c r="X131" i="4"/>
  <c r="X225" i="1" s="1"/>
  <c r="Y131" i="4"/>
  <c r="Y225" i="1" s="1"/>
  <c r="V131" i="4"/>
  <c r="V225" i="1" s="1"/>
  <c r="X324" i="11"/>
  <c r="Y324" i="11"/>
  <c r="V324" i="11"/>
  <c r="AA198" i="4"/>
  <c r="AA340" i="1" s="1"/>
  <c r="T340" i="1"/>
  <c r="T124" i="4"/>
  <c r="I122" i="4"/>
  <c r="AC57" i="2"/>
  <c r="AC22" i="2"/>
  <c r="AC62" i="2"/>
  <c r="S129" i="1"/>
  <c r="X77" i="2"/>
  <c r="X129" i="1" s="1"/>
  <c r="AC129" i="1" s="1"/>
  <c r="AD129" i="1" s="1"/>
  <c r="AF129" i="1" s="1"/>
  <c r="AG129" i="1" s="1"/>
  <c r="Y77" i="2"/>
  <c r="Y129" i="1" s="1"/>
  <c r="V77" i="2"/>
  <c r="V129" i="1" s="1"/>
  <c r="C123" i="2"/>
  <c r="F107" i="2"/>
  <c r="E107" i="2"/>
  <c r="D107" i="2"/>
  <c r="G107" i="2"/>
  <c r="S107" i="2" s="1"/>
  <c r="H107" i="2"/>
  <c r="J107" i="2"/>
  <c r="U107" i="2" s="1"/>
  <c r="I107" i="2"/>
  <c r="T107" i="2" s="1"/>
  <c r="S340" i="1"/>
  <c r="X198" i="4"/>
  <c r="X340" i="1" s="1"/>
  <c r="Y198" i="4"/>
  <c r="Y340" i="1" s="1"/>
  <c r="V198" i="4"/>
  <c r="V340" i="1" s="1"/>
  <c r="G187" i="11"/>
  <c r="S158" i="11"/>
  <c r="H92" i="2"/>
  <c r="C108" i="2"/>
  <c r="G92" i="2"/>
  <c r="S92" i="2" s="1"/>
  <c r="S83" i="2" s="1"/>
  <c r="S81" i="2" s="1"/>
  <c r="D92" i="2"/>
  <c r="E92" i="2"/>
  <c r="F92" i="2"/>
  <c r="J92" i="2"/>
  <c r="U92" i="2" s="1"/>
  <c r="I92" i="2"/>
  <c r="T92" i="2" s="1"/>
  <c r="S153" i="1"/>
  <c r="X88" i="2"/>
  <c r="X153" i="1" s="1"/>
  <c r="Y88" i="2"/>
  <c r="Y153" i="1" s="1"/>
  <c r="V88" i="2"/>
  <c r="V51" i="2"/>
  <c r="AA197" i="4"/>
  <c r="AA339" i="1" s="1"/>
  <c r="T339" i="1"/>
  <c r="H105" i="2"/>
  <c r="G105" i="2"/>
  <c r="S105" i="2" s="1"/>
  <c r="C121" i="2"/>
  <c r="D105" i="2"/>
  <c r="E105" i="2"/>
  <c r="F105" i="2"/>
  <c r="J105" i="2"/>
  <c r="U105" i="2" s="1"/>
  <c r="I105" i="2"/>
  <c r="T105" i="2" s="1"/>
  <c r="S150" i="1"/>
  <c r="X85" i="2"/>
  <c r="Y85" i="2"/>
  <c r="V85" i="2"/>
  <c r="S151" i="1"/>
  <c r="X86" i="2"/>
  <c r="X151" i="1" s="1"/>
  <c r="Y86" i="2"/>
  <c r="Y151" i="1" s="1"/>
  <c r="V86" i="2"/>
  <c r="V151" i="1" s="1"/>
  <c r="AA133" i="4"/>
  <c r="AA227" i="1" s="1"/>
  <c r="T227" i="1"/>
  <c r="U343" i="1"/>
  <c r="W201" i="4"/>
  <c r="W343" i="1" s="1"/>
  <c r="G190" i="11"/>
  <c r="S161" i="11"/>
  <c r="AC36" i="1"/>
  <c r="AD36" i="1" s="1"/>
  <c r="AF36" i="1" s="1"/>
  <c r="AG36" i="1" s="1"/>
  <c r="Z107" i="11"/>
  <c r="AC190" i="1"/>
  <c r="AD190" i="1" s="1"/>
  <c r="AF190" i="1" s="1"/>
  <c r="AG190" i="1" s="1"/>
  <c r="U121" i="1"/>
  <c r="W69" i="2"/>
  <c r="U67" i="2"/>
  <c r="AA94" i="2"/>
  <c r="AA159" i="1" s="1"/>
  <c r="T159" i="1"/>
  <c r="S338" i="1"/>
  <c r="X196" i="4"/>
  <c r="X338" i="1" s="1"/>
  <c r="Y196" i="4"/>
  <c r="Y338" i="1" s="1"/>
  <c r="V196" i="4"/>
  <c r="V338" i="1" s="1"/>
  <c r="U339" i="1"/>
  <c r="W197" i="4"/>
  <c r="W339" i="1" s="1"/>
  <c r="S154" i="1"/>
  <c r="X89" i="2"/>
  <c r="X154" i="1" s="1"/>
  <c r="Y89" i="2"/>
  <c r="Y154" i="1" s="1"/>
  <c r="V89" i="2"/>
  <c r="V154" i="1" s="1"/>
  <c r="X130" i="11"/>
  <c r="Y130" i="11"/>
  <c r="V130" i="11"/>
  <c r="S221" i="1"/>
  <c r="X127" i="4"/>
  <c r="X221" i="1" s="1"/>
  <c r="Y127" i="4"/>
  <c r="Y221" i="1" s="1"/>
  <c r="V127" i="4"/>
  <c r="V221" i="1" s="1"/>
  <c r="W133" i="4"/>
  <c r="W227" i="1" s="1"/>
  <c r="U227" i="1"/>
  <c r="Z91" i="2"/>
  <c r="Z156" i="1" s="1"/>
  <c r="AC122" i="1"/>
  <c r="AD122" i="1" s="1"/>
  <c r="AF122" i="1" s="1"/>
  <c r="AG122" i="1" s="1"/>
  <c r="X143" i="11"/>
  <c r="Y143" i="11"/>
  <c r="V143" i="11"/>
  <c r="F93" i="2"/>
  <c r="G93" i="2"/>
  <c r="S93" i="2" s="1"/>
  <c r="C109" i="2"/>
  <c r="E93" i="2"/>
  <c r="H93" i="2"/>
  <c r="D93" i="2"/>
  <c r="J93" i="2"/>
  <c r="U93" i="2" s="1"/>
  <c r="I93" i="2"/>
  <c r="T93" i="2" s="1"/>
  <c r="W94" i="2"/>
  <c r="W159" i="1" s="1"/>
  <c r="U159" i="1"/>
  <c r="X133" i="11"/>
  <c r="Y133" i="11"/>
  <c r="V133" i="11"/>
  <c r="C120" i="2"/>
  <c r="G104" i="2"/>
  <c r="S104" i="2" s="1"/>
  <c r="D104" i="2"/>
  <c r="E104" i="2"/>
  <c r="H104" i="2"/>
  <c r="F104" i="2"/>
  <c r="J104" i="2"/>
  <c r="U104" i="2" s="1"/>
  <c r="I104" i="2"/>
  <c r="T104" i="2" s="1"/>
  <c r="S218" i="1"/>
  <c r="S122" i="4"/>
  <c r="S120" i="4" s="1"/>
  <c r="X124" i="4"/>
  <c r="Y124" i="4"/>
  <c r="V124" i="4"/>
  <c r="G188" i="11"/>
  <c r="S159" i="11"/>
  <c r="S341" i="1"/>
  <c r="X199" i="4"/>
  <c r="X341" i="1" s="1"/>
  <c r="Y199" i="4"/>
  <c r="Y341" i="1" s="1"/>
  <c r="V199" i="4"/>
  <c r="V341" i="1" s="1"/>
  <c r="C117" i="2"/>
  <c r="H101" i="2"/>
  <c r="D101" i="2"/>
  <c r="F101" i="2"/>
  <c r="G101" i="2"/>
  <c r="S101" i="2" s="1"/>
  <c r="E101" i="2"/>
  <c r="J101" i="2"/>
  <c r="I101" i="2"/>
  <c r="X125" i="11"/>
  <c r="Y125" i="11"/>
  <c r="V125" i="11"/>
  <c r="S227" i="1"/>
  <c r="X133" i="4"/>
  <c r="X227" i="1" s="1"/>
  <c r="Y133" i="4"/>
  <c r="Y227" i="1" s="1"/>
  <c r="V133" i="4"/>
  <c r="V227" i="1" s="1"/>
  <c r="W93" i="5"/>
  <c r="AC93" i="5" s="1"/>
  <c r="U91" i="5"/>
  <c r="U345" i="1"/>
  <c r="T336" i="1"/>
  <c r="AA194" i="4"/>
  <c r="AA336" i="1" s="1"/>
  <c r="G201" i="11"/>
  <c r="S172" i="11"/>
  <c r="V105" i="4"/>
  <c r="V189" i="1"/>
  <c r="S159" i="1"/>
  <c r="X94" i="2"/>
  <c r="X159" i="1" s="1"/>
  <c r="Y94" i="2"/>
  <c r="Y159" i="1" s="1"/>
  <c r="V94" i="2"/>
  <c r="G191" i="11"/>
  <c r="S162" i="11"/>
  <c r="S339" i="1"/>
  <c r="X197" i="4"/>
  <c r="X339" i="1" s="1"/>
  <c r="Y197" i="4"/>
  <c r="Y339" i="1" s="1"/>
  <c r="V197" i="4"/>
  <c r="V339" i="1" s="1"/>
  <c r="X131" i="11"/>
  <c r="Y131" i="11"/>
  <c r="V131" i="11"/>
  <c r="G37" i="10"/>
  <c r="G38" i="10"/>
  <c r="G183" i="11"/>
  <c r="S154" i="11"/>
  <c r="U336" i="1"/>
  <c r="W194" i="4"/>
  <c r="W336" i="1" s="1"/>
  <c r="Y105" i="4"/>
  <c r="Y189" i="1"/>
  <c r="T342" i="1"/>
  <c r="AA200" i="4"/>
  <c r="AA342" i="1" s="1"/>
  <c r="X141" i="11"/>
  <c r="Y141" i="11"/>
  <c r="V141" i="11"/>
  <c r="X126" i="11"/>
  <c r="Y126" i="11"/>
  <c r="V126" i="11"/>
  <c r="G189" i="11"/>
  <c r="S160" i="11"/>
  <c r="X139" i="11"/>
  <c r="Y139" i="11"/>
  <c r="V139" i="11"/>
  <c r="V121" i="1"/>
  <c r="V67" i="2"/>
  <c r="AA202" i="4"/>
  <c r="AA344" i="1" s="1"/>
  <c r="T344" i="1"/>
  <c r="X105" i="4"/>
  <c r="X189" i="1"/>
  <c r="X90" i="1"/>
  <c r="U342" i="1"/>
  <c r="W200" i="4"/>
  <c r="W342" i="1" s="1"/>
  <c r="G199" i="11"/>
  <c r="S170" i="11"/>
  <c r="G184" i="11"/>
  <c r="S155" i="11"/>
  <c r="X140" i="11"/>
  <c r="Y140" i="11"/>
  <c r="V140" i="11"/>
  <c r="T220" i="1"/>
  <c r="AA126" i="4"/>
  <c r="AA220" i="1" s="1"/>
  <c r="AA132" i="4"/>
  <c r="AA226" i="1" s="1"/>
  <c r="T226" i="1"/>
  <c r="G197" i="11"/>
  <c r="S168" i="11"/>
  <c r="Z168" i="11" s="1"/>
  <c r="Y121" i="1"/>
  <c r="W202" i="4"/>
  <c r="W344" i="1" s="1"/>
  <c r="U344" i="1"/>
  <c r="W126" i="4"/>
  <c r="W220" i="1" s="1"/>
  <c r="U220" i="1"/>
  <c r="W132" i="4"/>
  <c r="W226" i="1" s="1"/>
  <c r="U226" i="1"/>
  <c r="AA125" i="4"/>
  <c r="AA219" i="1" s="1"/>
  <c r="T219" i="1"/>
  <c r="X64" i="11"/>
  <c r="X61" i="11" s="1"/>
  <c r="I37" i="10" s="1"/>
  <c r="S61" i="11"/>
  <c r="S59" i="11" s="1"/>
  <c r="Y64" i="11"/>
  <c r="Y61" i="11" s="1"/>
  <c r="V64" i="11"/>
  <c r="V61" i="11" s="1"/>
  <c r="I42" i="10" s="1"/>
  <c r="X121" i="1"/>
  <c r="X67" i="2"/>
  <c r="S336" i="1"/>
  <c r="X194" i="4"/>
  <c r="X336" i="1" s="1"/>
  <c r="Y194" i="4"/>
  <c r="Y336" i="1" s="1"/>
  <c r="V194" i="4"/>
  <c r="V336" i="1" s="1"/>
  <c r="X134" i="11"/>
  <c r="Y134" i="11"/>
  <c r="V134" i="11"/>
  <c r="I190" i="4"/>
  <c r="T192" i="4"/>
  <c r="V229" i="1"/>
  <c r="V59" i="5"/>
  <c r="D110" i="2"/>
  <c r="F110" i="2"/>
  <c r="E110" i="2"/>
  <c r="C126" i="2"/>
  <c r="G110" i="2"/>
  <c r="S110" i="2" s="1"/>
  <c r="H110" i="2"/>
  <c r="J110" i="2"/>
  <c r="U110" i="2" s="1"/>
  <c r="I110" i="2"/>
  <c r="T110" i="2" s="1"/>
  <c r="W131" i="4"/>
  <c r="W225" i="1" s="1"/>
  <c r="U225" i="1"/>
  <c r="AA195" i="4"/>
  <c r="AA337" i="1" s="1"/>
  <c r="T337" i="1"/>
  <c r="X138" i="11"/>
  <c r="Y138" i="11"/>
  <c r="V138" i="11"/>
  <c r="G192" i="11"/>
  <c r="S163" i="11"/>
  <c r="J190" i="4"/>
  <c r="U192" i="4"/>
  <c r="Y229" i="1"/>
  <c r="Y59" i="5"/>
  <c r="AA87" i="2"/>
  <c r="AA152" i="1" s="1"/>
  <c r="T152" i="1"/>
  <c r="S220" i="1"/>
  <c r="X126" i="4"/>
  <c r="X220" i="1" s="1"/>
  <c r="Y126" i="4"/>
  <c r="Y220" i="1" s="1"/>
  <c r="V126" i="4"/>
  <c r="V220" i="1" s="1"/>
  <c r="X124" i="11"/>
  <c r="Y124" i="11"/>
  <c r="V124" i="11"/>
  <c r="W125" i="4"/>
  <c r="W219" i="1" s="1"/>
  <c r="U219" i="1"/>
  <c r="G122" i="11"/>
  <c r="S93" i="11"/>
  <c r="S67" i="2"/>
  <c r="S65" i="2" s="1"/>
  <c r="AA131" i="4"/>
  <c r="AA225" i="1" s="1"/>
  <c r="T225" i="1"/>
  <c r="G198" i="11"/>
  <c r="S169" i="11"/>
  <c r="AC124" i="1"/>
  <c r="AD124" i="1" s="1"/>
  <c r="AF124" i="1" s="1"/>
  <c r="AG124" i="1" s="1"/>
  <c r="AA129" i="4"/>
  <c r="AA223" i="1" s="1"/>
  <c r="T223" i="1"/>
  <c r="AA201" i="4"/>
  <c r="AA343" i="1" s="1"/>
  <c r="T343" i="1"/>
  <c r="W195" i="4"/>
  <c r="W337" i="1" s="1"/>
  <c r="U337" i="1"/>
  <c r="G196" i="11"/>
  <c r="S167" i="11"/>
  <c r="U189" i="1"/>
  <c r="U105" i="4"/>
  <c r="W107" i="4"/>
  <c r="X295" i="11"/>
  <c r="Y295" i="11"/>
  <c r="V295" i="11"/>
  <c r="S334" i="1"/>
  <c r="S190" i="4"/>
  <c r="S188" i="4" s="1"/>
  <c r="X192" i="4"/>
  <c r="Y192" i="4"/>
  <c r="V192" i="4"/>
  <c r="X229" i="1"/>
  <c r="X59" i="5"/>
  <c r="U305" i="1"/>
  <c r="W175" i="4"/>
  <c r="U173" i="4"/>
  <c r="W87" i="2"/>
  <c r="W152" i="1" s="1"/>
  <c r="U152" i="1"/>
  <c r="G182" i="11"/>
  <c r="S153" i="11"/>
  <c r="S226" i="1"/>
  <c r="X132" i="4"/>
  <c r="X226" i="1" s="1"/>
  <c r="Y132" i="4"/>
  <c r="Y226" i="1" s="1"/>
  <c r="V132" i="4"/>
  <c r="V226" i="1" s="1"/>
  <c r="S344" i="1"/>
  <c r="X202" i="4"/>
  <c r="X344" i="1" s="1"/>
  <c r="Y202" i="4"/>
  <c r="Y344" i="1" s="1"/>
  <c r="V202" i="4"/>
  <c r="V344" i="1" s="1"/>
  <c r="AC54" i="5"/>
  <c r="AC75" i="2"/>
  <c r="AC70" i="2"/>
  <c r="AC59" i="2"/>
  <c r="AC109" i="4"/>
  <c r="AC30" i="2"/>
  <c r="Z39" i="1"/>
  <c r="AC161" i="4"/>
  <c r="AC24" i="2"/>
  <c r="AC78" i="2"/>
  <c r="AC12" i="2"/>
  <c r="Z338" i="1"/>
  <c r="Z67" i="2"/>
  <c r="AC29" i="2"/>
  <c r="Z3" i="2"/>
  <c r="AC12" i="4"/>
  <c r="AC72" i="2"/>
  <c r="AC21" i="2"/>
  <c r="AC76" i="11"/>
  <c r="AD76" i="11" s="1"/>
  <c r="AF76" i="11" s="1"/>
  <c r="AG76" i="11" s="1"/>
  <c r="Z155" i="1"/>
  <c r="AC55" i="2"/>
  <c r="J121" i="11"/>
  <c r="U92" i="11"/>
  <c r="J90" i="11"/>
  <c r="J127" i="11"/>
  <c r="U98" i="11"/>
  <c r="W98" i="11" s="1"/>
  <c r="J134" i="11"/>
  <c r="U105" i="11"/>
  <c r="W105" i="11" s="1"/>
  <c r="AC71" i="2"/>
  <c r="J137" i="11"/>
  <c r="U108" i="11"/>
  <c r="W108" i="11" s="1"/>
  <c r="J123" i="11"/>
  <c r="U94" i="11"/>
  <c r="W94" i="11" s="1"/>
  <c r="J142" i="11"/>
  <c r="U113" i="11"/>
  <c r="W113" i="11" s="1"/>
  <c r="J132" i="11"/>
  <c r="U103" i="11"/>
  <c r="W103" i="11" s="1"/>
  <c r="I92" i="11"/>
  <c r="T63" i="11"/>
  <c r="I61" i="11"/>
  <c r="J140" i="11"/>
  <c r="U111" i="11"/>
  <c r="W111" i="11" s="1"/>
  <c r="J133" i="11"/>
  <c r="U104" i="11"/>
  <c r="W104" i="11" s="1"/>
  <c r="J124" i="11"/>
  <c r="U95" i="11"/>
  <c r="W95" i="11" s="1"/>
  <c r="J131" i="11"/>
  <c r="U102" i="11"/>
  <c r="W102" i="11" s="1"/>
  <c r="J143" i="11"/>
  <c r="U114" i="11"/>
  <c r="W114" i="11" s="1"/>
  <c r="J129" i="11"/>
  <c r="U100" i="11"/>
  <c r="W100" i="11" s="1"/>
  <c r="J126" i="11"/>
  <c r="U97" i="11"/>
  <c r="W97" i="11" s="1"/>
  <c r="AC151" i="4"/>
  <c r="AC56" i="2"/>
  <c r="J122" i="11"/>
  <c r="U93" i="11"/>
  <c r="W93" i="11" s="1"/>
  <c r="J139" i="11"/>
  <c r="U110" i="11"/>
  <c r="W110" i="11" s="1"/>
  <c r="J125" i="11"/>
  <c r="U96" i="11"/>
  <c r="W96" i="11" s="1"/>
  <c r="J138" i="11"/>
  <c r="U109" i="11"/>
  <c r="W109" i="11" s="1"/>
  <c r="J128" i="11"/>
  <c r="U99" i="11"/>
  <c r="W99" i="11" s="1"/>
  <c r="AC23" i="2"/>
  <c r="J135" i="11"/>
  <c r="U106" i="11"/>
  <c r="W106" i="11" s="1"/>
  <c r="U61" i="11"/>
  <c r="W63" i="11"/>
  <c r="W61" i="11" s="1"/>
  <c r="J136" i="11"/>
  <c r="U107" i="11"/>
  <c r="W107" i="11" s="1"/>
  <c r="AC107" i="11" s="1"/>
  <c r="AD107" i="11" s="1"/>
  <c r="AF107" i="11" s="1"/>
  <c r="AG107" i="11" s="1"/>
  <c r="J141" i="11"/>
  <c r="U112" i="11"/>
  <c r="W112" i="11" s="1"/>
  <c r="T32" i="11"/>
  <c r="AA34" i="11"/>
  <c r="AA32" i="11" s="1"/>
  <c r="J130" i="11"/>
  <c r="U101" i="11"/>
  <c r="W101" i="11" s="1"/>
  <c r="AC101" i="11" s="1"/>
  <c r="AD101" i="11" s="1"/>
  <c r="AF101" i="11" s="1"/>
  <c r="AG101" i="11" s="1"/>
  <c r="AC58" i="2"/>
  <c r="AC54" i="2"/>
  <c r="AC90" i="4"/>
  <c r="AC40" i="1"/>
  <c r="AD40" i="1" s="1"/>
  <c r="AF40" i="1" s="1"/>
  <c r="AG40" i="1" s="1"/>
  <c r="AC27" i="2"/>
  <c r="Z19" i="2"/>
  <c r="AC31" i="4"/>
  <c r="AC53" i="1"/>
  <c r="AD53" i="1" s="1"/>
  <c r="AF53" i="1" s="1"/>
  <c r="AG53" i="1" s="1"/>
  <c r="Z35" i="2"/>
  <c r="AC37" i="5"/>
  <c r="AC141" i="4"/>
  <c r="Z51" i="2"/>
  <c r="Z110" i="1"/>
  <c r="AC110" i="1" s="1"/>
  <c r="AD110" i="1" s="1"/>
  <c r="AF110" i="1" s="1"/>
  <c r="AG110" i="1" s="1"/>
  <c r="AC22" i="4"/>
  <c r="Z100" i="1"/>
  <c r="AC100" i="1" s="1"/>
  <c r="AD100" i="1" s="1"/>
  <c r="AF100" i="1" s="1"/>
  <c r="AG100" i="1" s="1"/>
  <c r="AC69" i="5"/>
  <c r="AC27" i="1"/>
  <c r="AD27" i="1" s="1"/>
  <c r="AF27" i="1" s="1"/>
  <c r="AG27" i="1" s="1"/>
  <c r="AC95" i="4"/>
  <c r="AC78" i="5"/>
  <c r="AC75" i="5" s="1"/>
  <c r="Z19" i="5"/>
  <c r="T32" i="1"/>
  <c r="E62" i="10"/>
  <c r="AC9" i="1"/>
  <c r="AI9" i="1" s="1"/>
  <c r="AC45" i="5"/>
  <c r="AC43" i="5" s="1"/>
  <c r="AC9" i="4"/>
  <c r="AC6" i="5"/>
  <c r="Z3" i="4"/>
  <c r="AA11" i="1"/>
  <c r="AC11" i="1" s="1"/>
  <c r="AD11" i="1" s="1"/>
  <c r="AF11" i="1" s="1"/>
  <c r="AG11" i="1" s="1"/>
  <c r="AA22" i="1"/>
  <c r="AC22" i="1" s="1"/>
  <c r="Z19" i="1"/>
  <c r="AC19" i="1" s="1"/>
  <c r="AD19" i="1" s="1"/>
  <c r="AF19" i="1" s="1"/>
  <c r="AG19" i="1" s="1"/>
  <c r="AA3" i="5"/>
  <c r="Z253" i="1"/>
  <c r="AC253" i="1" s="1"/>
  <c r="AD253" i="1" s="1"/>
  <c r="AF253" i="1" s="1"/>
  <c r="AG253" i="1" s="1"/>
  <c r="AC147" i="4"/>
  <c r="Z104" i="1"/>
  <c r="AC104" i="1" s="1"/>
  <c r="AD104" i="1" s="1"/>
  <c r="AF104" i="1" s="1"/>
  <c r="AG104" i="1" s="1"/>
  <c r="AC58" i="4"/>
  <c r="Z170" i="1"/>
  <c r="AC170" i="1" s="1"/>
  <c r="AD170" i="1" s="1"/>
  <c r="AF170" i="1" s="1"/>
  <c r="AG170" i="1" s="1"/>
  <c r="AC100" i="4"/>
  <c r="Z71" i="1"/>
  <c r="AC71" i="1" s="1"/>
  <c r="AD71" i="1" s="1"/>
  <c r="AF71" i="1" s="1"/>
  <c r="AG71" i="1" s="1"/>
  <c r="AC42" i="1"/>
  <c r="AD42" i="1" s="1"/>
  <c r="AF42" i="1" s="1"/>
  <c r="AG42" i="1" s="1"/>
  <c r="Z112" i="1"/>
  <c r="AC112" i="1" s="1"/>
  <c r="AD112" i="1" s="1"/>
  <c r="AF112" i="1" s="1"/>
  <c r="AG112" i="1" s="1"/>
  <c r="AC66" i="4"/>
  <c r="Z222" i="1"/>
  <c r="AC222" i="1" s="1"/>
  <c r="AD222" i="1" s="1"/>
  <c r="AF222" i="1" s="1"/>
  <c r="AG222" i="1" s="1"/>
  <c r="AC128" i="4"/>
  <c r="I90" i="1"/>
  <c r="Z72" i="1"/>
  <c r="AC72" i="1" s="1"/>
  <c r="AD72" i="1" s="1"/>
  <c r="AF72" i="1" s="1"/>
  <c r="AG72" i="1" s="1"/>
  <c r="AC43" i="1"/>
  <c r="AD43" i="1" s="1"/>
  <c r="AF43" i="1" s="1"/>
  <c r="AG43" i="1" s="1"/>
  <c r="Z168" i="1"/>
  <c r="AC168" i="1" s="1"/>
  <c r="AD168" i="1" s="1"/>
  <c r="AF168" i="1" s="1"/>
  <c r="AG168" i="1" s="1"/>
  <c r="AC98" i="4"/>
  <c r="Z336" i="1"/>
  <c r="Z50" i="1"/>
  <c r="AC28" i="4"/>
  <c r="Z199" i="1"/>
  <c r="AC199" i="1" s="1"/>
  <c r="AD199" i="1" s="1"/>
  <c r="AF199" i="1" s="1"/>
  <c r="AG199" i="1" s="1"/>
  <c r="AC117" i="4"/>
  <c r="AA54" i="4"/>
  <c r="AA102" i="1"/>
  <c r="Z91" i="5"/>
  <c r="Z346" i="1"/>
  <c r="AC346" i="1" s="1"/>
  <c r="AD346" i="1" s="1"/>
  <c r="AF346" i="1" s="1"/>
  <c r="AG346" i="1" s="1"/>
  <c r="AC94" i="5"/>
  <c r="Z163" i="1"/>
  <c r="AC163" i="1" s="1"/>
  <c r="AD163" i="1" s="1"/>
  <c r="AF163" i="1" s="1"/>
  <c r="AG163" i="1" s="1"/>
  <c r="AC93" i="4"/>
  <c r="Z339" i="1"/>
  <c r="AA43" i="5"/>
  <c r="AA171" i="1"/>
  <c r="Z68" i="1"/>
  <c r="AC68" i="1" s="1"/>
  <c r="AD68" i="1" s="1"/>
  <c r="AF68" i="1" s="1"/>
  <c r="AG68" i="1" s="1"/>
  <c r="AC39" i="1"/>
  <c r="AD39" i="1" s="1"/>
  <c r="AF39" i="1" s="1"/>
  <c r="AG39" i="1" s="1"/>
  <c r="Z105" i="1"/>
  <c r="AC105" i="1" s="1"/>
  <c r="AD105" i="1" s="1"/>
  <c r="AF105" i="1" s="1"/>
  <c r="AG105" i="1" s="1"/>
  <c r="AC59" i="4"/>
  <c r="Z225" i="1"/>
  <c r="AC39" i="4"/>
  <c r="Z252" i="1"/>
  <c r="AC252" i="1" s="1"/>
  <c r="AD252" i="1" s="1"/>
  <c r="AF252" i="1" s="1"/>
  <c r="AG252" i="1" s="1"/>
  <c r="AC146" i="4"/>
  <c r="Z192" i="1"/>
  <c r="AC192" i="1" s="1"/>
  <c r="AD192" i="1" s="1"/>
  <c r="AF192" i="1" s="1"/>
  <c r="AG192" i="1" s="1"/>
  <c r="AC110" i="4"/>
  <c r="Z67" i="5"/>
  <c r="Z258" i="1"/>
  <c r="Z44" i="1"/>
  <c r="Z73" i="1" s="1"/>
  <c r="Z20" i="4"/>
  <c r="Z227" i="1"/>
  <c r="Z56" i="1"/>
  <c r="AC14" i="5"/>
  <c r="AC11" i="5" s="1"/>
  <c r="Z52" i="1"/>
  <c r="AC30" i="4"/>
  <c r="AC85" i="5"/>
  <c r="AA83" i="5"/>
  <c r="AA316" i="1"/>
  <c r="AC316" i="1" s="1"/>
  <c r="AD316" i="1" s="1"/>
  <c r="AF316" i="1" s="1"/>
  <c r="AG316" i="1" s="1"/>
  <c r="Z226" i="1"/>
  <c r="AC7" i="4"/>
  <c r="Z17" i="1"/>
  <c r="Z108" i="1"/>
  <c r="AC108" i="1" s="1"/>
  <c r="AD108" i="1" s="1"/>
  <c r="AF108" i="1" s="1"/>
  <c r="AG108" i="1" s="1"/>
  <c r="AC62" i="4"/>
  <c r="Z343" i="1"/>
  <c r="Z197" i="1"/>
  <c r="AC197" i="1" s="1"/>
  <c r="AD197" i="1" s="1"/>
  <c r="AF197" i="1" s="1"/>
  <c r="AG197" i="1" s="1"/>
  <c r="AC115" i="4"/>
  <c r="Z164" i="1"/>
  <c r="AC164" i="1" s="1"/>
  <c r="AD164" i="1" s="1"/>
  <c r="AF164" i="1" s="1"/>
  <c r="AG164" i="1" s="1"/>
  <c r="AC94" i="4"/>
  <c r="Z228" i="1"/>
  <c r="Z255" i="1"/>
  <c r="AC255" i="1" s="1"/>
  <c r="AD255" i="1" s="1"/>
  <c r="AF255" i="1" s="1"/>
  <c r="AG255" i="1" s="1"/>
  <c r="AC149" i="4"/>
  <c r="AA156" i="4"/>
  <c r="AA276" i="1"/>
  <c r="AC276" i="1" s="1"/>
  <c r="AD276" i="1" s="1"/>
  <c r="AF276" i="1" s="1"/>
  <c r="AG276" i="1" s="1"/>
  <c r="AC53" i="5"/>
  <c r="T61" i="1"/>
  <c r="Z26" i="1"/>
  <c r="Z3" i="5"/>
  <c r="Z256" i="1"/>
  <c r="AC256" i="1" s="1"/>
  <c r="AD256" i="1" s="1"/>
  <c r="AF256" i="1" s="1"/>
  <c r="AG256" i="1" s="1"/>
  <c r="AC150" i="4"/>
  <c r="Z156" i="4"/>
  <c r="Z284" i="1"/>
  <c r="AC284" i="1" s="1"/>
  <c r="AD284" i="1" s="1"/>
  <c r="AF284" i="1" s="1"/>
  <c r="AG284" i="1" s="1"/>
  <c r="AC166" i="4"/>
  <c r="Z229" i="1"/>
  <c r="Z59" i="5"/>
  <c r="Z277" i="1"/>
  <c r="AC277" i="1" s="1"/>
  <c r="AD277" i="1" s="1"/>
  <c r="AF277" i="1" s="1"/>
  <c r="AG277" i="1" s="1"/>
  <c r="AC159" i="4"/>
  <c r="AA105" i="4"/>
  <c r="AA189" i="1"/>
  <c r="Z259" i="1"/>
  <c r="AC259" i="1" s="1"/>
  <c r="AD259" i="1" s="1"/>
  <c r="AF259" i="1" s="1"/>
  <c r="AG259" i="1" s="1"/>
  <c r="AC70" i="5"/>
  <c r="Z247" i="1"/>
  <c r="Z139" i="4"/>
  <c r="Z122" i="4"/>
  <c r="Z220" i="1"/>
  <c r="AC126" i="4"/>
  <c r="Z138" i="1"/>
  <c r="AC138" i="1" s="1"/>
  <c r="AD138" i="1" s="1"/>
  <c r="AF138" i="1" s="1"/>
  <c r="AG138" i="1" s="1"/>
  <c r="AC80" i="4"/>
  <c r="Z135" i="1"/>
  <c r="AC135" i="1" s="1"/>
  <c r="AD135" i="1" s="1"/>
  <c r="AF135" i="1" s="1"/>
  <c r="AG135" i="1" s="1"/>
  <c r="AC77" i="4"/>
  <c r="Z63" i="1"/>
  <c r="AA51" i="5"/>
  <c r="AA200" i="1"/>
  <c r="AC200" i="1" s="1"/>
  <c r="AD200" i="1" s="1"/>
  <c r="AF200" i="1" s="1"/>
  <c r="AG200" i="1" s="1"/>
  <c r="Z43" i="5"/>
  <c r="Z171" i="1"/>
  <c r="Z283" i="1"/>
  <c r="AC283" i="1" s="1"/>
  <c r="AD283" i="1" s="1"/>
  <c r="AF283" i="1" s="1"/>
  <c r="AG283" i="1" s="1"/>
  <c r="AC165" i="4"/>
  <c r="Z223" i="1"/>
  <c r="AC223" i="1" s="1"/>
  <c r="AD223" i="1" s="1"/>
  <c r="AF223" i="1" s="1"/>
  <c r="AG223" i="1" s="1"/>
  <c r="Z278" i="1"/>
  <c r="AC278" i="1" s="1"/>
  <c r="AD278" i="1" s="1"/>
  <c r="AF278" i="1" s="1"/>
  <c r="AG278" i="1" s="1"/>
  <c r="AC160" i="4"/>
  <c r="Z310" i="1"/>
  <c r="AC310" i="1" s="1"/>
  <c r="AD310" i="1" s="1"/>
  <c r="AF310" i="1" s="1"/>
  <c r="AG310" i="1" s="1"/>
  <c r="AC180" i="4"/>
  <c r="Z51" i="1"/>
  <c r="AC29" i="4"/>
  <c r="Z286" i="1"/>
  <c r="AC286" i="1" s="1"/>
  <c r="AD286" i="1" s="1"/>
  <c r="AF286" i="1" s="1"/>
  <c r="AG286" i="1" s="1"/>
  <c r="AC168" i="4"/>
  <c r="Z70" i="1"/>
  <c r="AC70" i="1" s="1"/>
  <c r="AD70" i="1" s="1"/>
  <c r="AF70" i="1" s="1"/>
  <c r="AG70" i="1" s="1"/>
  <c r="AC41" i="1"/>
  <c r="AD41" i="1" s="1"/>
  <c r="AF41" i="1" s="1"/>
  <c r="AG41" i="1" s="1"/>
  <c r="Z134" i="1"/>
  <c r="AC134" i="1" s="1"/>
  <c r="AD134" i="1" s="1"/>
  <c r="AF134" i="1" s="1"/>
  <c r="AG134" i="1" s="1"/>
  <c r="AC76" i="4"/>
  <c r="Z106" i="1"/>
  <c r="AC106" i="1" s="1"/>
  <c r="AD106" i="1" s="1"/>
  <c r="AF106" i="1" s="1"/>
  <c r="AG106" i="1" s="1"/>
  <c r="AC60" i="4"/>
  <c r="Z139" i="1"/>
  <c r="AC139" i="1" s="1"/>
  <c r="AD139" i="1" s="1"/>
  <c r="AF139" i="1" s="1"/>
  <c r="AG139" i="1" s="1"/>
  <c r="AC81" i="4"/>
  <c r="Z195" i="1"/>
  <c r="AC195" i="1" s="1"/>
  <c r="AD195" i="1" s="1"/>
  <c r="AF195" i="1" s="1"/>
  <c r="AG195" i="1" s="1"/>
  <c r="AC113" i="4"/>
  <c r="AA19" i="2"/>
  <c r="AA34" i="1"/>
  <c r="AC34" i="1" s="1"/>
  <c r="Z114" i="1"/>
  <c r="AC114" i="1" s="1"/>
  <c r="AD114" i="1" s="1"/>
  <c r="AF114" i="1" s="1"/>
  <c r="AG114" i="1" s="1"/>
  <c r="AC30" i="5"/>
  <c r="Z282" i="1"/>
  <c r="AC282" i="1" s="1"/>
  <c r="AD282" i="1" s="1"/>
  <c r="AF282" i="1" s="1"/>
  <c r="AG282" i="1" s="1"/>
  <c r="AC164" i="4"/>
  <c r="Z167" i="1"/>
  <c r="AC167" i="1" s="1"/>
  <c r="AD167" i="1" s="1"/>
  <c r="AF167" i="1" s="1"/>
  <c r="AG167" i="1" s="1"/>
  <c r="AC97" i="4"/>
  <c r="W63" i="1"/>
  <c r="W32" i="1"/>
  <c r="G29" i="10" s="1"/>
  <c r="Z287" i="1"/>
  <c r="Z75" i="5"/>
  <c r="Z137" i="1"/>
  <c r="AC137" i="1" s="1"/>
  <c r="AD137" i="1" s="1"/>
  <c r="AF137" i="1" s="1"/>
  <c r="AG137" i="1" s="1"/>
  <c r="AC79" i="4"/>
  <c r="AA51" i="2"/>
  <c r="AA92" i="1"/>
  <c r="Z219" i="1"/>
  <c r="AC219" i="1" s="1"/>
  <c r="AD219" i="1" s="1"/>
  <c r="AF219" i="1" s="1"/>
  <c r="AG219" i="1" s="1"/>
  <c r="AC125" i="4"/>
  <c r="Z48" i="1"/>
  <c r="AC26" i="4"/>
  <c r="Z66" i="1"/>
  <c r="AC66" i="1" s="1"/>
  <c r="AD66" i="1" s="1"/>
  <c r="AF66" i="1" s="1"/>
  <c r="AG66" i="1" s="1"/>
  <c r="AC37" i="1"/>
  <c r="AD37" i="1" s="1"/>
  <c r="AF37" i="1" s="1"/>
  <c r="AG37" i="1" s="1"/>
  <c r="Z249" i="1"/>
  <c r="AC249" i="1" s="1"/>
  <c r="AD249" i="1" s="1"/>
  <c r="AF249" i="1" s="1"/>
  <c r="AG249" i="1" s="1"/>
  <c r="AC143" i="4"/>
  <c r="Z314" i="1"/>
  <c r="AC314" i="1" s="1"/>
  <c r="AD314" i="1" s="1"/>
  <c r="AF314" i="1" s="1"/>
  <c r="AG314" i="1" s="1"/>
  <c r="AC184" i="4"/>
  <c r="Z64" i="1"/>
  <c r="AC64" i="1" s="1"/>
  <c r="AD64" i="1" s="1"/>
  <c r="AF64" i="1" s="1"/>
  <c r="AG64" i="1" s="1"/>
  <c r="AC35" i="1"/>
  <c r="AD35" i="1" s="1"/>
  <c r="AF35" i="1" s="1"/>
  <c r="AG35" i="1" s="1"/>
  <c r="Z166" i="1"/>
  <c r="AC166" i="1" s="1"/>
  <c r="AD166" i="1" s="1"/>
  <c r="AF166" i="1" s="1"/>
  <c r="AG166" i="1" s="1"/>
  <c r="AC96" i="4"/>
  <c r="Z111" i="1"/>
  <c r="AC111" i="1" s="1"/>
  <c r="AD111" i="1" s="1"/>
  <c r="AF111" i="1" s="1"/>
  <c r="AG111" i="1" s="1"/>
  <c r="AC65" i="4"/>
  <c r="AA55" i="1"/>
  <c r="AA84" i="1" s="1"/>
  <c r="AA11" i="5"/>
  <c r="Z131" i="1"/>
  <c r="Z71" i="4"/>
  <c r="Z307" i="1"/>
  <c r="AC307" i="1" s="1"/>
  <c r="AD307" i="1" s="1"/>
  <c r="AF307" i="1" s="1"/>
  <c r="AG307" i="1" s="1"/>
  <c r="AC177" i="4"/>
  <c r="AA142" i="1"/>
  <c r="AA35" i="5"/>
  <c r="AC175" i="4"/>
  <c r="AA91" i="5"/>
  <c r="AA345" i="1"/>
  <c r="AC8" i="1"/>
  <c r="AI8" i="1" s="1"/>
  <c r="Z109" i="1"/>
  <c r="AC109" i="1" s="1"/>
  <c r="AD109" i="1" s="1"/>
  <c r="AF109" i="1" s="1"/>
  <c r="AG109" i="1" s="1"/>
  <c r="AC63" i="4"/>
  <c r="Z113" i="1"/>
  <c r="Z27" i="5"/>
  <c r="Z280" i="1"/>
  <c r="AC280" i="1" s="1"/>
  <c r="AD280" i="1" s="1"/>
  <c r="AF280" i="1" s="1"/>
  <c r="AG280" i="1" s="1"/>
  <c r="AC162" i="4"/>
  <c r="Z341" i="1"/>
  <c r="AC21" i="5"/>
  <c r="AC19" i="5" s="1"/>
  <c r="Z46" i="1"/>
  <c r="AC24" i="4"/>
  <c r="Z103" i="1"/>
  <c r="AC103" i="1" s="1"/>
  <c r="AD103" i="1" s="1"/>
  <c r="AF103" i="1" s="1"/>
  <c r="AG103" i="1" s="1"/>
  <c r="AC57" i="4"/>
  <c r="AA59" i="5"/>
  <c r="AA229" i="1"/>
  <c r="Z248" i="1"/>
  <c r="AC248" i="1" s="1"/>
  <c r="AD248" i="1" s="1"/>
  <c r="AF248" i="1" s="1"/>
  <c r="AG248" i="1" s="1"/>
  <c r="AC142" i="4"/>
  <c r="Z193" i="1"/>
  <c r="AC193" i="1" s="1"/>
  <c r="AD193" i="1" s="1"/>
  <c r="AF193" i="1" s="1"/>
  <c r="AG193" i="1" s="1"/>
  <c r="AC111" i="4"/>
  <c r="Z67" i="1"/>
  <c r="AC67" i="1" s="1"/>
  <c r="AD67" i="1" s="1"/>
  <c r="AF67" i="1" s="1"/>
  <c r="AG67" i="1" s="1"/>
  <c r="AC38" i="1"/>
  <c r="AD38" i="1" s="1"/>
  <c r="AF38" i="1" s="1"/>
  <c r="AG38" i="1" s="1"/>
  <c r="AC158" i="4"/>
  <c r="Z51" i="5"/>
  <c r="Z281" i="1"/>
  <c r="AC281" i="1" s="1"/>
  <c r="AD281" i="1" s="1"/>
  <c r="AF281" i="1" s="1"/>
  <c r="AG281" i="1" s="1"/>
  <c r="AC163" i="4"/>
  <c r="Z315" i="1"/>
  <c r="AC315" i="1" s="1"/>
  <c r="AD315" i="1" s="1"/>
  <c r="AF315" i="1" s="1"/>
  <c r="AG315" i="1" s="1"/>
  <c r="AC185" i="4"/>
  <c r="AC61" i="5"/>
  <c r="Z306" i="1"/>
  <c r="AC306" i="1" s="1"/>
  <c r="AD306" i="1" s="1"/>
  <c r="AF306" i="1" s="1"/>
  <c r="AG306" i="1" s="1"/>
  <c r="AC176" i="4"/>
  <c r="Z308" i="1"/>
  <c r="AC308" i="1" s="1"/>
  <c r="AD308" i="1" s="1"/>
  <c r="AF308" i="1" s="1"/>
  <c r="AG308" i="1" s="1"/>
  <c r="AC178" i="4"/>
  <c r="W84" i="1"/>
  <c r="Z105" i="4"/>
  <c r="Z83" i="5"/>
  <c r="Z317" i="1"/>
  <c r="AC317" i="1" s="1"/>
  <c r="AD317" i="1" s="1"/>
  <c r="AF317" i="1" s="1"/>
  <c r="AG317" i="1" s="1"/>
  <c r="AC86" i="5"/>
  <c r="Z35" i="5"/>
  <c r="Z142" i="1"/>
  <c r="Z337" i="1"/>
  <c r="AA27" i="5"/>
  <c r="AA113" i="1"/>
  <c r="AC5" i="1"/>
  <c r="AI5" i="1" s="1"/>
  <c r="Z344" i="1"/>
  <c r="Z45" i="1"/>
  <c r="AC23" i="4"/>
  <c r="Z88" i="4"/>
  <c r="Z162" i="1"/>
  <c r="AC162" i="1" s="1"/>
  <c r="AD162" i="1" s="1"/>
  <c r="AF162" i="1" s="1"/>
  <c r="AG162" i="1" s="1"/>
  <c r="AC92" i="4"/>
  <c r="AA173" i="4"/>
  <c r="AA305" i="1"/>
  <c r="W73" i="1"/>
  <c r="T90" i="1"/>
  <c r="Z230" i="1"/>
  <c r="AC230" i="1" s="1"/>
  <c r="AD230" i="1" s="1"/>
  <c r="AF230" i="1" s="1"/>
  <c r="AG230" i="1" s="1"/>
  <c r="AC62" i="5"/>
  <c r="Z140" i="1"/>
  <c r="AC140" i="1" s="1"/>
  <c r="AD140" i="1" s="1"/>
  <c r="AF140" i="1" s="1"/>
  <c r="AG140" i="1" s="1"/>
  <c r="AC82" i="4"/>
  <c r="Z224" i="1"/>
  <c r="AC224" i="1" s="1"/>
  <c r="AD224" i="1" s="1"/>
  <c r="AF224" i="1" s="1"/>
  <c r="AG224" i="1" s="1"/>
  <c r="AC130" i="4"/>
  <c r="Z312" i="1"/>
  <c r="AC312" i="1" s="1"/>
  <c r="AD312" i="1" s="1"/>
  <c r="AF312" i="1" s="1"/>
  <c r="AG312" i="1" s="1"/>
  <c r="AC182" i="4"/>
  <c r="Z161" i="1"/>
  <c r="AC161" i="1" s="1"/>
  <c r="AD161" i="1" s="1"/>
  <c r="AF161" i="1" s="1"/>
  <c r="AG161" i="1" s="1"/>
  <c r="AC91" i="4"/>
  <c r="Z107" i="1"/>
  <c r="AC107" i="1" s="1"/>
  <c r="AD107" i="1" s="1"/>
  <c r="AF107" i="1" s="1"/>
  <c r="AG107" i="1" s="1"/>
  <c r="AC61" i="4"/>
  <c r="AA121" i="1"/>
  <c r="Z136" i="1"/>
  <c r="AC136" i="1" s="1"/>
  <c r="AD136" i="1" s="1"/>
  <c r="AF136" i="1" s="1"/>
  <c r="AG136" i="1" s="1"/>
  <c r="AC78" i="4"/>
  <c r="Z340" i="1"/>
  <c r="AC73" i="4"/>
  <c r="Z285" i="1"/>
  <c r="AC285" i="1" s="1"/>
  <c r="AD285" i="1" s="1"/>
  <c r="AF285" i="1" s="1"/>
  <c r="AG285" i="1" s="1"/>
  <c r="AC167" i="4"/>
  <c r="Z309" i="1"/>
  <c r="AC309" i="1" s="1"/>
  <c r="AD309" i="1" s="1"/>
  <c r="AF309" i="1" s="1"/>
  <c r="AG309" i="1" s="1"/>
  <c r="AC179" i="4"/>
  <c r="Z54" i="1"/>
  <c r="AC32" i="4"/>
  <c r="AC69" i="2"/>
  <c r="AA67" i="5"/>
  <c r="AA258" i="1"/>
  <c r="Z196" i="1"/>
  <c r="AC196" i="1" s="1"/>
  <c r="AD196" i="1" s="1"/>
  <c r="AF196" i="1" s="1"/>
  <c r="AG196" i="1" s="1"/>
  <c r="AC114" i="4"/>
  <c r="Z221" i="1"/>
  <c r="AA139" i="4"/>
  <c r="AA247" i="1"/>
  <c r="Z250" i="1"/>
  <c r="AC250" i="1" s="1"/>
  <c r="AD250" i="1" s="1"/>
  <c r="AF250" i="1" s="1"/>
  <c r="AG250" i="1" s="1"/>
  <c r="AC144" i="4"/>
  <c r="I61" i="1"/>
  <c r="AC53" i="2"/>
  <c r="Z311" i="1"/>
  <c r="AC311" i="1" s="1"/>
  <c r="AD311" i="1" s="1"/>
  <c r="AF311" i="1" s="1"/>
  <c r="AG311" i="1" s="1"/>
  <c r="AC181" i="4"/>
  <c r="Z133" i="1"/>
  <c r="AC133" i="1" s="1"/>
  <c r="AD133" i="1" s="1"/>
  <c r="AF133" i="1" s="1"/>
  <c r="AG133" i="1" s="1"/>
  <c r="AC75" i="4"/>
  <c r="Z49" i="1"/>
  <c r="AC27" i="4"/>
  <c r="AC37" i="2"/>
  <c r="AC35" i="2" s="1"/>
  <c r="Z143" i="1"/>
  <c r="AC143" i="1" s="1"/>
  <c r="AD143" i="1" s="1"/>
  <c r="AF143" i="1" s="1"/>
  <c r="AG143" i="1" s="1"/>
  <c r="AC38" i="5"/>
  <c r="Z254" i="1"/>
  <c r="AC254" i="1" s="1"/>
  <c r="AD254" i="1" s="1"/>
  <c r="AF254" i="1" s="1"/>
  <c r="AG254" i="1" s="1"/>
  <c r="AC148" i="4"/>
  <c r="Z169" i="1"/>
  <c r="AC169" i="1" s="1"/>
  <c r="AD169" i="1" s="1"/>
  <c r="AF169" i="1" s="1"/>
  <c r="AG169" i="1" s="1"/>
  <c r="AC99" i="4"/>
  <c r="Z47" i="1"/>
  <c r="AC25" i="4"/>
  <c r="Z173" i="4"/>
  <c r="Z313" i="1"/>
  <c r="AC313" i="1" s="1"/>
  <c r="AD313" i="1" s="1"/>
  <c r="AF313" i="1" s="1"/>
  <c r="AG313" i="1" s="1"/>
  <c r="AC183" i="4"/>
  <c r="AA131" i="1"/>
  <c r="AA71" i="4"/>
  <c r="AC29" i="5"/>
  <c r="AA160" i="1"/>
  <c r="AC160" i="1" s="1"/>
  <c r="AD160" i="1" s="1"/>
  <c r="AF160" i="1" s="1"/>
  <c r="AG160" i="1" s="1"/>
  <c r="AA88" i="4"/>
  <c r="Z37" i="4"/>
  <c r="AC42" i="4"/>
  <c r="Z335" i="1"/>
  <c r="AC335" i="1" s="1"/>
  <c r="AD335" i="1" s="1"/>
  <c r="AF335" i="1" s="1"/>
  <c r="AG335" i="1" s="1"/>
  <c r="AC193" i="4"/>
  <c r="AA75" i="5"/>
  <c r="AA287" i="1"/>
  <c r="Z141" i="1"/>
  <c r="AC141" i="1" s="1"/>
  <c r="AD141" i="1" s="1"/>
  <c r="AF141" i="1" s="1"/>
  <c r="AG141" i="1" s="1"/>
  <c r="AC83" i="4"/>
  <c r="Z198" i="1"/>
  <c r="AC198" i="1" s="1"/>
  <c r="AD198" i="1" s="1"/>
  <c r="AF198" i="1" s="1"/>
  <c r="AG198" i="1" s="1"/>
  <c r="AC116" i="4"/>
  <c r="AA44" i="1"/>
  <c r="AA73" i="1" s="1"/>
  <c r="AA20" i="4"/>
  <c r="Z54" i="4"/>
  <c r="Z132" i="1"/>
  <c r="AC132" i="1" s="1"/>
  <c r="AD132" i="1" s="1"/>
  <c r="AF132" i="1" s="1"/>
  <c r="AG132" i="1" s="1"/>
  <c r="AC74" i="4"/>
  <c r="Z194" i="1"/>
  <c r="AC194" i="1" s="1"/>
  <c r="AD194" i="1" s="1"/>
  <c r="AF194" i="1" s="1"/>
  <c r="AG194" i="1" s="1"/>
  <c r="AC112" i="4"/>
  <c r="AC107" i="4"/>
  <c r="Z11" i="5"/>
  <c r="E40" i="10"/>
  <c r="J266" i="1"/>
  <c r="J235" i="1"/>
  <c r="AC12" i="1"/>
  <c r="AD12" i="1" s="1"/>
  <c r="AF12" i="1" s="1"/>
  <c r="AG12" i="1" s="1"/>
  <c r="I210" i="1"/>
  <c r="I239" i="1" s="1"/>
  <c r="I268" i="1" s="1"/>
  <c r="I297" i="1" s="1"/>
  <c r="I326" i="1" s="1"/>
  <c r="E38" i="10"/>
  <c r="E37" i="10"/>
  <c r="I119" i="1"/>
  <c r="I150" i="1"/>
  <c r="J206" i="1"/>
  <c r="Z113" i="11"/>
  <c r="Z78" i="11"/>
  <c r="AC78" i="11" s="1"/>
  <c r="AD78" i="11" s="1"/>
  <c r="AF78" i="11" s="1"/>
  <c r="AG78" i="11" s="1"/>
  <c r="Z121" i="11"/>
  <c r="Z84" i="11"/>
  <c r="AC84" i="11" s="1"/>
  <c r="AD84" i="11" s="1"/>
  <c r="AF84" i="11" s="1"/>
  <c r="AG84" i="11" s="1"/>
  <c r="Z154" i="11"/>
  <c r="Z99" i="11"/>
  <c r="Z98" i="11"/>
  <c r="Z170" i="11"/>
  <c r="Z100" i="11"/>
  <c r="Z83" i="11"/>
  <c r="AC83" i="11" s="1"/>
  <c r="AD83" i="11" s="1"/>
  <c r="AF83" i="11" s="1"/>
  <c r="AG83" i="11" s="1"/>
  <c r="Z95" i="11"/>
  <c r="Z158" i="11"/>
  <c r="Z80" i="11"/>
  <c r="AC80" i="11" s="1"/>
  <c r="AD80" i="11" s="1"/>
  <c r="AF80" i="11" s="1"/>
  <c r="AG80" i="11" s="1"/>
  <c r="Z110" i="11"/>
  <c r="Z143" i="11"/>
  <c r="Z93" i="11"/>
  <c r="Z133" i="11"/>
  <c r="Z75" i="11"/>
  <c r="AC75" i="11" s="1"/>
  <c r="AD75" i="11" s="1"/>
  <c r="AF75" i="11" s="1"/>
  <c r="AG75" i="11" s="1"/>
  <c r="Z112" i="11"/>
  <c r="AC112" i="11" s="1"/>
  <c r="AD112" i="11" s="1"/>
  <c r="AF112" i="11" s="1"/>
  <c r="AG112" i="11" s="1"/>
  <c r="Z166" i="11"/>
  <c r="Z81" i="11"/>
  <c r="AC81" i="11" s="1"/>
  <c r="AD81" i="11" s="1"/>
  <c r="AF81" i="11" s="1"/>
  <c r="AG81" i="11" s="1"/>
  <c r="Z103" i="11"/>
  <c r="Z85" i="11"/>
  <c r="AC85" i="11" s="1"/>
  <c r="AD85" i="11" s="1"/>
  <c r="AF85" i="11" s="1"/>
  <c r="AG85" i="11" s="1"/>
  <c r="Z161" i="11"/>
  <c r="Z135" i="11"/>
  <c r="Z114" i="11"/>
  <c r="Z163" i="11"/>
  <c r="Z105" i="11"/>
  <c r="Z125" i="11"/>
  <c r="Z96" i="11"/>
  <c r="Z137" i="11"/>
  <c r="Z179" i="11"/>
  <c r="Z129" i="11"/>
  <c r="Z160" i="11"/>
  <c r="Z79" i="11"/>
  <c r="AC79" i="11" s="1"/>
  <c r="AD79" i="11" s="1"/>
  <c r="AF79" i="11" s="1"/>
  <c r="AG79" i="11" s="1"/>
  <c r="Z64" i="11"/>
  <c r="AC64" i="11" s="1"/>
  <c r="AD64" i="11" s="1"/>
  <c r="AF64" i="11" s="1"/>
  <c r="AG64" i="11" s="1"/>
  <c r="Z127" i="11"/>
  <c r="Z108" i="11"/>
  <c r="Z153" i="11"/>
  <c r="Z74" i="11"/>
  <c r="AC74" i="11" s="1"/>
  <c r="AD74" i="11" s="1"/>
  <c r="AF74" i="11" s="1"/>
  <c r="AG74" i="11" s="1"/>
  <c r="Z142" i="11"/>
  <c r="Z72" i="11"/>
  <c r="AC72" i="11" s="1"/>
  <c r="AD72" i="11" s="1"/>
  <c r="AF72" i="11" s="1"/>
  <c r="AG72" i="11" s="1"/>
  <c r="Z132" i="11"/>
  <c r="Z138" i="11"/>
  <c r="Z111" i="11"/>
  <c r="AC111" i="11" s="1"/>
  <c r="AD111" i="11" s="1"/>
  <c r="AF111" i="11" s="1"/>
  <c r="AG111" i="11" s="1"/>
  <c r="Z69" i="11"/>
  <c r="AC69" i="11" s="1"/>
  <c r="AD69" i="11" s="1"/>
  <c r="AF69" i="11" s="1"/>
  <c r="AG69" i="11" s="1"/>
  <c r="Z165" i="11"/>
  <c r="Z104" i="11"/>
  <c r="AC104" i="11" s="1"/>
  <c r="AD104" i="11" s="1"/>
  <c r="AF104" i="11" s="1"/>
  <c r="AG104" i="11" s="1"/>
  <c r="Z134" i="11"/>
  <c r="Z68" i="11"/>
  <c r="AC68" i="11" s="1"/>
  <c r="AD68" i="11" s="1"/>
  <c r="AF68" i="11" s="1"/>
  <c r="AG68" i="11" s="1"/>
  <c r="Z139" i="11"/>
  <c r="Z150" i="11"/>
  <c r="Z155" i="11"/>
  <c r="Z82" i="11"/>
  <c r="AC82" i="11" s="1"/>
  <c r="AD82" i="11" s="1"/>
  <c r="AF82" i="11" s="1"/>
  <c r="AG82" i="11" s="1"/>
  <c r="Z65" i="11"/>
  <c r="AC65" i="11" s="1"/>
  <c r="AD65" i="11" s="1"/>
  <c r="AF65" i="11" s="1"/>
  <c r="AG65" i="11" s="1"/>
  <c r="Z130" i="11"/>
  <c r="Z172" i="11"/>
  <c r="Z162" i="11"/>
  <c r="Z97" i="11"/>
  <c r="Z324" i="11"/>
  <c r="Z126" i="11"/>
  <c r="Z169" i="11"/>
  <c r="Z131" i="11"/>
  <c r="Z92" i="11"/>
  <c r="Z208" i="11"/>
  <c r="Z295" i="11"/>
  <c r="Z167" i="11"/>
  <c r="Z77" i="11"/>
  <c r="AC77" i="11" s="1"/>
  <c r="AD77" i="11" s="1"/>
  <c r="AF77" i="11" s="1"/>
  <c r="AG77" i="11" s="1"/>
  <c r="Z94" i="11"/>
  <c r="AC94" i="11" s="1"/>
  <c r="AD94" i="11" s="1"/>
  <c r="AF94" i="11" s="1"/>
  <c r="AG94" i="11" s="1"/>
  <c r="Z128" i="11"/>
  <c r="Z106" i="11"/>
  <c r="AC106" i="11" s="1"/>
  <c r="AD106" i="11" s="1"/>
  <c r="AF106" i="11" s="1"/>
  <c r="AG106" i="11" s="1"/>
  <c r="Z152" i="11"/>
  <c r="Z140" i="11"/>
  <c r="Z123" i="11"/>
  <c r="Z109" i="11"/>
  <c r="Z157" i="11"/>
  <c r="Z73" i="11"/>
  <c r="AC73" i="11" s="1"/>
  <c r="AD73" i="11" s="1"/>
  <c r="AF73" i="11" s="1"/>
  <c r="AG73" i="11" s="1"/>
  <c r="Z136" i="11"/>
  <c r="Z63" i="11"/>
  <c r="Z102" i="11"/>
  <c r="AC102" i="11" s="1"/>
  <c r="AD102" i="11" s="1"/>
  <c r="AF102" i="11" s="1"/>
  <c r="AG102" i="11" s="1"/>
  <c r="Z141" i="11"/>
  <c r="Z71" i="11"/>
  <c r="AC71" i="11" s="1"/>
  <c r="AD71" i="11" s="1"/>
  <c r="AF71" i="11" s="1"/>
  <c r="AG71" i="11" s="1"/>
  <c r="Z70" i="11"/>
  <c r="AC70" i="11" s="1"/>
  <c r="AD70" i="11" s="1"/>
  <c r="AF70" i="11" s="1"/>
  <c r="AG70" i="11" s="1"/>
  <c r="Z237" i="11"/>
  <c r="Z52" i="11"/>
  <c r="AC52" i="11" s="1"/>
  <c r="AD52" i="11" s="1"/>
  <c r="AF52" i="11" s="1"/>
  <c r="AG52" i="11" s="1"/>
  <c r="Z34" i="11"/>
  <c r="Z48" i="11"/>
  <c r="AC48" i="11" s="1"/>
  <c r="AD48" i="11" s="1"/>
  <c r="AF48" i="11" s="1"/>
  <c r="AG48" i="11" s="1"/>
  <c r="Z53" i="11"/>
  <c r="AC53" i="11" s="1"/>
  <c r="AD53" i="11" s="1"/>
  <c r="AF53" i="11" s="1"/>
  <c r="AG53" i="11" s="1"/>
  <c r="Z35" i="11"/>
  <c r="AC35" i="11" s="1"/>
  <c r="AD35" i="11" s="1"/>
  <c r="AF35" i="11" s="1"/>
  <c r="AG35" i="11" s="1"/>
  <c r="Z54" i="11"/>
  <c r="AC54" i="11" s="1"/>
  <c r="AD54" i="11" s="1"/>
  <c r="AF54" i="11" s="1"/>
  <c r="AG54" i="11" s="1"/>
  <c r="Z37" i="11"/>
  <c r="AC37" i="11" s="1"/>
  <c r="AD37" i="11" s="1"/>
  <c r="AF37" i="11" s="1"/>
  <c r="AG37" i="11" s="1"/>
  <c r="Z50" i="11"/>
  <c r="AC50" i="11" s="1"/>
  <c r="AD50" i="11" s="1"/>
  <c r="AF50" i="11" s="1"/>
  <c r="AG50" i="11" s="1"/>
  <c r="Z55" i="11"/>
  <c r="AC55" i="11" s="1"/>
  <c r="AD55" i="11" s="1"/>
  <c r="AF55" i="11" s="1"/>
  <c r="AG55" i="11" s="1"/>
  <c r="Z51" i="11"/>
  <c r="AC51" i="11" s="1"/>
  <c r="AD51" i="11" s="1"/>
  <c r="AF51" i="11" s="1"/>
  <c r="AG51" i="11" s="1"/>
  <c r="Z40" i="11"/>
  <c r="AC40" i="11" s="1"/>
  <c r="AD40" i="11" s="1"/>
  <c r="AF40" i="11" s="1"/>
  <c r="AG40" i="11" s="1"/>
  <c r="Z39" i="11"/>
  <c r="AC39" i="11" s="1"/>
  <c r="AD39" i="11" s="1"/>
  <c r="AF39" i="11" s="1"/>
  <c r="AG39" i="11" s="1"/>
  <c r="Z38" i="11"/>
  <c r="AC38" i="11" s="1"/>
  <c r="AD38" i="11" s="1"/>
  <c r="AF38" i="11" s="1"/>
  <c r="AG38" i="11" s="1"/>
  <c r="Z45" i="11"/>
  <c r="AC45" i="11" s="1"/>
  <c r="AD45" i="11" s="1"/>
  <c r="AF45" i="11" s="1"/>
  <c r="AG45" i="11" s="1"/>
  <c r="Z41" i="11"/>
  <c r="AC41" i="11" s="1"/>
  <c r="AD41" i="11" s="1"/>
  <c r="AF41" i="11" s="1"/>
  <c r="AG41" i="11" s="1"/>
  <c r="Z42" i="11"/>
  <c r="AC42" i="11" s="1"/>
  <c r="AD42" i="11" s="1"/>
  <c r="AF42" i="11" s="1"/>
  <c r="AG42" i="11" s="1"/>
  <c r="Z56" i="11"/>
  <c r="AC56" i="11" s="1"/>
  <c r="AD56" i="11" s="1"/>
  <c r="AF56" i="11" s="1"/>
  <c r="AG56" i="11" s="1"/>
  <c r="Z46" i="11"/>
  <c r="AC46" i="11" s="1"/>
  <c r="AD46" i="11" s="1"/>
  <c r="AF46" i="11" s="1"/>
  <c r="AG46" i="11" s="1"/>
  <c r="Z47" i="11"/>
  <c r="AC47" i="11" s="1"/>
  <c r="AD47" i="11" s="1"/>
  <c r="AF47" i="11" s="1"/>
  <c r="AG47" i="11" s="1"/>
  <c r="Z44" i="11"/>
  <c r="AC44" i="11" s="1"/>
  <c r="AD44" i="11" s="1"/>
  <c r="AF44" i="11" s="1"/>
  <c r="AG44" i="11" s="1"/>
  <c r="Z23" i="11"/>
  <c r="AC23" i="11" s="1"/>
  <c r="AI23" i="11" s="1"/>
  <c r="Z36" i="11"/>
  <c r="AC36" i="11" s="1"/>
  <c r="AD36" i="11" s="1"/>
  <c r="AF36" i="11" s="1"/>
  <c r="AG36" i="11" s="1"/>
  <c r="Z43" i="11"/>
  <c r="AC43" i="11" s="1"/>
  <c r="AD43" i="11" s="1"/>
  <c r="AF43" i="11" s="1"/>
  <c r="AG43" i="11" s="1"/>
  <c r="Z49" i="11"/>
  <c r="AC49" i="11" s="1"/>
  <c r="AD49" i="11" s="1"/>
  <c r="AF49" i="11" s="1"/>
  <c r="AG49" i="11" s="1"/>
  <c r="Z20" i="11"/>
  <c r="AC20" i="11" s="1"/>
  <c r="AI20" i="11" s="1"/>
  <c r="Z15" i="11"/>
  <c r="AC15" i="11" s="1"/>
  <c r="AI15" i="11" s="1"/>
  <c r="Z7" i="11"/>
  <c r="AC7" i="11" s="1"/>
  <c r="AI7" i="11" s="1"/>
  <c r="Z5" i="11"/>
  <c r="AC5" i="11" s="1"/>
  <c r="Z27" i="11"/>
  <c r="AC27" i="11" s="1"/>
  <c r="AI27" i="11" s="1"/>
  <c r="Z19" i="11"/>
  <c r="AC19" i="11" s="1"/>
  <c r="AI19" i="11" s="1"/>
  <c r="Z10" i="11"/>
  <c r="AC10" i="11" s="1"/>
  <c r="AI10" i="11" s="1"/>
  <c r="Z25" i="11"/>
  <c r="AC25" i="11" s="1"/>
  <c r="AI25" i="11" s="1"/>
  <c r="Z17" i="11"/>
  <c r="AC17" i="11" s="1"/>
  <c r="Z21" i="11"/>
  <c r="AC21" i="11" s="1"/>
  <c r="AI21" i="11" s="1"/>
  <c r="Z9" i="11"/>
  <c r="AC9" i="11" s="1"/>
  <c r="Z13" i="11"/>
  <c r="AC13" i="11" s="1"/>
  <c r="AI13" i="11" s="1"/>
  <c r="Z12" i="11"/>
  <c r="AC12" i="11" s="1"/>
  <c r="Z22" i="11"/>
  <c r="AC22" i="11" s="1"/>
  <c r="Z11" i="11"/>
  <c r="AC11" i="11" s="1"/>
  <c r="Z24" i="11"/>
  <c r="AC24" i="11" s="1"/>
  <c r="AI24" i="11" s="1"/>
  <c r="Z14" i="11"/>
  <c r="AC14" i="11" s="1"/>
  <c r="AI14" i="11" s="1"/>
  <c r="Z26" i="11"/>
  <c r="AC26" i="11" s="1"/>
  <c r="AI26" i="11" s="1"/>
  <c r="Z16" i="11"/>
  <c r="AC16" i="11" s="1"/>
  <c r="AI16" i="11" s="1"/>
  <c r="Z6" i="11"/>
  <c r="Z18" i="11"/>
  <c r="AC18" i="11" s="1"/>
  <c r="AI18" i="11" s="1"/>
  <c r="AA17" i="1"/>
  <c r="AA14" i="1"/>
  <c r="AC14" i="1" s="1"/>
  <c r="AA7" i="1"/>
  <c r="AC7" i="1" s="1"/>
  <c r="AI7" i="1" s="1"/>
  <c r="AA6" i="1"/>
  <c r="AC6" i="1" s="1"/>
  <c r="AI6" i="1" s="1"/>
  <c r="AA16" i="1"/>
  <c r="AC16" i="1" s="1"/>
  <c r="AA23" i="1"/>
  <c r="AC23" i="1" s="1"/>
  <c r="AA18" i="1"/>
  <c r="AC18" i="1" s="1"/>
  <c r="AA25" i="1"/>
  <c r="AC25" i="1" s="1"/>
  <c r="AA10" i="1"/>
  <c r="AC10" i="1" s="1"/>
  <c r="AD5" i="1"/>
  <c r="AF5" i="1" s="1"/>
  <c r="AG5" i="1" s="1"/>
  <c r="AA24" i="1"/>
  <c r="AC24" i="1" s="1"/>
  <c r="AA21" i="1"/>
  <c r="AC21" i="1" s="1"/>
  <c r="AC5" i="4"/>
  <c r="AC5" i="5"/>
  <c r="AA26" i="1"/>
  <c r="AC11" i="4"/>
  <c r="AC14" i="2"/>
  <c r="T3" i="1"/>
  <c r="AA3" i="2"/>
  <c r="AC10" i="2"/>
  <c r="AC8" i="4"/>
  <c r="AA13" i="1"/>
  <c r="AC13" i="1" s="1"/>
  <c r="AC13" i="2"/>
  <c r="AH27" i="1"/>
  <c r="AH11" i="1"/>
  <c r="AC15" i="4"/>
  <c r="AH12" i="1"/>
  <c r="AC6" i="2"/>
  <c r="AH26" i="1"/>
  <c r="AA20" i="1"/>
  <c r="AC20" i="1" s="1"/>
  <c r="AC10" i="4"/>
  <c r="AC7" i="2"/>
  <c r="AC14" i="4"/>
  <c r="AC13" i="4"/>
  <c r="AC6" i="4"/>
  <c r="AH22" i="1"/>
  <c r="AH17" i="1"/>
  <c r="AH19" i="1"/>
  <c r="AA15" i="1"/>
  <c r="AC15" i="1" s="1"/>
  <c r="AA3" i="4"/>
  <c r="W3" i="1"/>
  <c r="E29" i="10" s="1"/>
  <c r="AC343" i="1" l="1"/>
  <c r="AD343" i="1" s="1"/>
  <c r="AF343" i="1" s="1"/>
  <c r="AG343" i="1" s="1"/>
  <c r="AC196" i="4"/>
  <c r="AC195" i="4"/>
  <c r="AC337" i="1"/>
  <c r="AD337" i="1" s="1"/>
  <c r="AF337" i="1" s="1"/>
  <c r="AG337" i="1" s="1"/>
  <c r="AC134" i="4"/>
  <c r="AC228" i="1"/>
  <c r="AD228" i="1" s="1"/>
  <c r="AF228" i="1" s="1"/>
  <c r="AG228" i="1" s="1"/>
  <c r="AC226" i="1"/>
  <c r="AD226" i="1" s="1"/>
  <c r="AF226" i="1" s="1"/>
  <c r="AG226" i="1" s="1"/>
  <c r="AC129" i="4"/>
  <c r="Z190" i="4"/>
  <c r="I36" i="10"/>
  <c r="I56" i="10" s="1"/>
  <c r="I57" i="10" s="1"/>
  <c r="I55" i="10" s="1"/>
  <c r="AC90" i="2"/>
  <c r="AC151" i="1"/>
  <c r="AD151" i="1" s="1"/>
  <c r="AF151" i="1" s="1"/>
  <c r="AG151" i="1" s="1"/>
  <c r="S119" i="1"/>
  <c r="S117" i="1" s="1"/>
  <c r="I40" i="10"/>
  <c r="I67" i="10"/>
  <c r="I62" i="10" s="1"/>
  <c r="X122" i="4"/>
  <c r="X218" i="1"/>
  <c r="W110" i="2"/>
  <c r="W188" i="1" s="1"/>
  <c r="U188" i="1"/>
  <c r="Y67" i="2"/>
  <c r="U101" i="2"/>
  <c r="U158" i="1"/>
  <c r="W93" i="2"/>
  <c r="W158" i="1" s="1"/>
  <c r="X158" i="11"/>
  <c r="Y158" i="11"/>
  <c r="V158" i="11"/>
  <c r="T184" i="1"/>
  <c r="AA106" i="2"/>
  <c r="AA184" i="1" s="1"/>
  <c r="G229" i="11"/>
  <c r="S200" i="11"/>
  <c r="X165" i="11"/>
  <c r="Y165" i="11"/>
  <c r="V165" i="11"/>
  <c r="W105" i="4"/>
  <c r="W189" i="1"/>
  <c r="Y119" i="1"/>
  <c r="G36" i="10"/>
  <c r="X172" i="11"/>
  <c r="Y172" i="11"/>
  <c r="V172" i="11"/>
  <c r="G216" i="11"/>
  <c r="S187" i="11"/>
  <c r="S180" i="1"/>
  <c r="X102" i="2"/>
  <c r="X180" i="1" s="1"/>
  <c r="Y102" i="2"/>
  <c r="Y180" i="1" s="1"/>
  <c r="V102" i="2"/>
  <c r="Z102" i="2"/>
  <c r="Z180" i="1" s="1"/>
  <c r="W106" i="2"/>
  <c r="W184" i="1" s="1"/>
  <c r="U184" i="1"/>
  <c r="G223" i="11"/>
  <c r="S194" i="11"/>
  <c r="X156" i="11"/>
  <c r="Y156" i="11"/>
  <c r="V156" i="11"/>
  <c r="G212" i="11"/>
  <c r="S183" i="11"/>
  <c r="AC100" i="11"/>
  <c r="AD100" i="11" s="1"/>
  <c r="AF100" i="11" s="1"/>
  <c r="AG100" i="11" s="1"/>
  <c r="AC220" i="1"/>
  <c r="AD220" i="1" s="1"/>
  <c r="AF220" i="1" s="1"/>
  <c r="AG220" i="1" s="1"/>
  <c r="W305" i="1"/>
  <c r="AC305" i="1" s="1"/>
  <c r="AD305" i="1" s="1"/>
  <c r="AF305" i="1" s="1"/>
  <c r="AG305" i="1" s="1"/>
  <c r="W173" i="4"/>
  <c r="D126" i="2"/>
  <c r="F126" i="2"/>
  <c r="C142" i="2"/>
  <c r="E126" i="2"/>
  <c r="G126" i="2"/>
  <c r="S126" i="2" s="1"/>
  <c r="H126" i="2"/>
  <c r="J126" i="2"/>
  <c r="U126" i="2" s="1"/>
  <c r="I126" i="2"/>
  <c r="T126" i="2" s="1"/>
  <c r="X119" i="1"/>
  <c r="G226" i="11"/>
  <c r="S197" i="11"/>
  <c r="W104" i="2"/>
  <c r="W182" i="1" s="1"/>
  <c r="U182" i="1"/>
  <c r="W67" i="2"/>
  <c r="W121" i="1"/>
  <c r="W119" i="1" s="1"/>
  <c r="F118" i="2"/>
  <c r="C134" i="2"/>
  <c r="H118" i="2"/>
  <c r="G118" i="2"/>
  <c r="S118" i="2" s="1"/>
  <c r="E118" i="2"/>
  <c r="D118" i="2"/>
  <c r="J118" i="2"/>
  <c r="U118" i="2" s="1"/>
  <c r="I118" i="2"/>
  <c r="T118" i="2" s="1"/>
  <c r="AA103" i="2"/>
  <c r="AA181" i="1" s="1"/>
  <c r="T181" i="1"/>
  <c r="G214" i="11"/>
  <c r="S185" i="11"/>
  <c r="S183" i="1"/>
  <c r="X105" i="2"/>
  <c r="X183" i="1" s="1"/>
  <c r="Y105" i="2"/>
  <c r="Y183" i="1" s="1"/>
  <c r="V105" i="2"/>
  <c r="Z105" i="2"/>
  <c r="Z183" i="1" s="1"/>
  <c r="AC131" i="4"/>
  <c r="AC91" i="2"/>
  <c r="X167" i="11"/>
  <c r="Y167" i="11"/>
  <c r="V167" i="11"/>
  <c r="X93" i="11"/>
  <c r="X90" i="11" s="1"/>
  <c r="K37" i="10" s="1"/>
  <c r="S90" i="11"/>
  <c r="S88" i="11" s="1"/>
  <c r="Y93" i="11"/>
  <c r="Y90" i="11" s="1"/>
  <c r="V93" i="11"/>
  <c r="V90" i="11" s="1"/>
  <c r="K42" i="10" s="1"/>
  <c r="U334" i="1"/>
  <c r="W192" i="4"/>
  <c r="U190" i="4"/>
  <c r="F109" i="2"/>
  <c r="H109" i="2"/>
  <c r="G109" i="2"/>
  <c r="S109" i="2" s="1"/>
  <c r="E109" i="2"/>
  <c r="C125" i="2"/>
  <c r="D109" i="2"/>
  <c r="J109" i="2"/>
  <c r="U109" i="2" s="1"/>
  <c r="I109" i="2"/>
  <c r="T109" i="2" s="1"/>
  <c r="U119" i="1"/>
  <c r="V150" i="1"/>
  <c r="V153" i="1"/>
  <c r="AC153" i="1" s="1"/>
  <c r="AD153" i="1" s="1"/>
  <c r="AF153" i="1" s="1"/>
  <c r="AG153" i="1" s="1"/>
  <c r="AC88" i="2"/>
  <c r="W54" i="4"/>
  <c r="W102" i="1"/>
  <c r="AC102" i="1" s="1"/>
  <c r="AD102" i="1" s="1"/>
  <c r="AF102" i="1" s="1"/>
  <c r="AG102" i="1" s="1"/>
  <c r="F122" i="2"/>
  <c r="C138" i="2"/>
  <c r="H122" i="2"/>
  <c r="G122" i="2"/>
  <c r="S122" i="2" s="1"/>
  <c r="E122" i="2"/>
  <c r="D122" i="2"/>
  <c r="J122" i="2"/>
  <c r="U122" i="2" s="1"/>
  <c r="I122" i="2"/>
  <c r="T122" i="2" s="1"/>
  <c r="W103" i="2"/>
  <c r="W181" i="1" s="1"/>
  <c r="U181" i="1"/>
  <c r="X152" i="11"/>
  <c r="Y152" i="11"/>
  <c r="V152" i="11"/>
  <c r="AA110" i="2"/>
  <c r="AA188" i="1" s="1"/>
  <c r="T188" i="1"/>
  <c r="X168" i="11"/>
  <c r="Y168" i="11"/>
  <c r="V168" i="11"/>
  <c r="S179" i="1"/>
  <c r="X101" i="2"/>
  <c r="Y101" i="2"/>
  <c r="V101" i="2"/>
  <c r="Z101" i="2"/>
  <c r="AC77" i="2"/>
  <c r="G225" i="11"/>
  <c r="S196" i="11"/>
  <c r="G151" i="11"/>
  <c r="S122" i="11"/>
  <c r="S158" i="1"/>
  <c r="X93" i="2"/>
  <c r="X158" i="1" s="1"/>
  <c r="Y93" i="2"/>
  <c r="Y158" i="1" s="1"/>
  <c r="V93" i="2"/>
  <c r="Z93" i="2"/>
  <c r="Z158" i="1" s="1"/>
  <c r="Y150" i="1"/>
  <c r="G210" i="11"/>
  <c r="S181" i="11"/>
  <c r="AC155" i="1"/>
  <c r="AD155" i="1" s="1"/>
  <c r="AF155" i="1" s="1"/>
  <c r="AG155" i="1" s="1"/>
  <c r="X163" i="11"/>
  <c r="Y163" i="11"/>
  <c r="V163" i="11"/>
  <c r="C133" i="2"/>
  <c r="H117" i="2"/>
  <c r="G117" i="2"/>
  <c r="S117" i="2" s="1"/>
  <c r="D117" i="2"/>
  <c r="E117" i="2"/>
  <c r="F117" i="2"/>
  <c r="J117" i="2"/>
  <c r="I117" i="2"/>
  <c r="X150" i="1"/>
  <c r="T185" i="1"/>
  <c r="AA107" i="2"/>
  <c r="AA185" i="1" s="1"/>
  <c r="AA124" i="4"/>
  <c r="T218" i="1"/>
  <c r="T122" i="4"/>
  <c r="J83" i="2"/>
  <c r="S184" i="1"/>
  <c r="X106" i="2"/>
  <c r="X184" i="1" s="1"/>
  <c r="Y106" i="2"/>
  <c r="Y184" i="1" s="1"/>
  <c r="V106" i="2"/>
  <c r="Z106" i="2"/>
  <c r="Z184" i="1" s="1"/>
  <c r="S181" i="1"/>
  <c r="X103" i="2"/>
  <c r="X181" i="1" s="1"/>
  <c r="Y103" i="2"/>
  <c r="Y181" i="1" s="1"/>
  <c r="V103" i="2"/>
  <c r="Z103" i="2"/>
  <c r="Z181" i="1" s="1"/>
  <c r="G230" i="11"/>
  <c r="S201" i="11"/>
  <c r="T182" i="1"/>
  <c r="AA104" i="2"/>
  <c r="AA182" i="1" s="1"/>
  <c r="AC341" i="1"/>
  <c r="AD341" i="1" s="1"/>
  <c r="AF341" i="1" s="1"/>
  <c r="AG341" i="1" s="1"/>
  <c r="AC51" i="5"/>
  <c r="AC87" i="2"/>
  <c r="AC338" i="1"/>
  <c r="AD338" i="1" s="1"/>
  <c r="AF338" i="1" s="1"/>
  <c r="AG338" i="1" s="1"/>
  <c r="G221" i="11"/>
  <c r="S192" i="11"/>
  <c r="W91" i="5"/>
  <c r="W345" i="1"/>
  <c r="AC345" i="1" s="1"/>
  <c r="AD345" i="1" s="1"/>
  <c r="AF345" i="1" s="1"/>
  <c r="AG345" i="1" s="1"/>
  <c r="W107" i="2"/>
  <c r="W185" i="1" s="1"/>
  <c r="U185" i="1"/>
  <c r="AC200" i="4"/>
  <c r="U150" i="1"/>
  <c r="W85" i="2"/>
  <c r="U83" i="2"/>
  <c r="AA76" i="2"/>
  <c r="T128" i="1"/>
  <c r="T119" i="1" s="1"/>
  <c r="T67" i="2"/>
  <c r="U90" i="1"/>
  <c r="G211" i="11"/>
  <c r="S182" i="11"/>
  <c r="G218" i="11"/>
  <c r="S189" i="11"/>
  <c r="AC103" i="11"/>
  <c r="AD103" i="11" s="1"/>
  <c r="AF103" i="11" s="1"/>
  <c r="AG103" i="11" s="1"/>
  <c r="AC17" i="1"/>
  <c r="AD17" i="1" s="1"/>
  <c r="AF17" i="1" s="1"/>
  <c r="AG17" i="1" s="1"/>
  <c r="AC202" i="4"/>
  <c r="AC201" i="4"/>
  <c r="V334" i="1"/>
  <c r="V190" i="4"/>
  <c r="S182" i="1"/>
  <c r="X104" i="2"/>
  <c r="X182" i="1" s="1"/>
  <c r="Y104" i="2"/>
  <c r="Y182" i="1" s="1"/>
  <c r="V104" i="2"/>
  <c r="Z104" i="2"/>
  <c r="Z182" i="1" s="1"/>
  <c r="X161" i="11"/>
  <c r="Y161" i="11"/>
  <c r="V161" i="11"/>
  <c r="AA92" i="2"/>
  <c r="AA157" i="1" s="1"/>
  <c r="T157" i="1"/>
  <c r="W99" i="1"/>
  <c r="W51" i="2"/>
  <c r="AC60" i="2"/>
  <c r="AC51" i="2" s="1"/>
  <c r="T101" i="2"/>
  <c r="I99" i="2"/>
  <c r="S188" i="1"/>
  <c r="X110" i="2"/>
  <c r="X188" i="1" s="1"/>
  <c r="Y110" i="2"/>
  <c r="Y188" i="1" s="1"/>
  <c r="V110" i="2"/>
  <c r="Z110" i="2"/>
  <c r="Z188" i="1" s="1"/>
  <c r="AC225" i="1"/>
  <c r="AD225" i="1" s="1"/>
  <c r="AF225" i="1" s="1"/>
  <c r="AG225" i="1" s="1"/>
  <c r="AC198" i="4"/>
  <c r="AC344" i="1"/>
  <c r="AD344" i="1" s="1"/>
  <c r="AF344" i="1" s="1"/>
  <c r="AG344" i="1" s="1"/>
  <c r="AC189" i="1"/>
  <c r="AD189" i="1" s="1"/>
  <c r="AF189" i="1" s="1"/>
  <c r="AG189" i="1" s="1"/>
  <c r="AC133" i="4"/>
  <c r="Y190" i="4"/>
  <c r="Y334" i="1"/>
  <c r="T334" i="1"/>
  <c r="AA192" i="4"/>
  <c r="T190" i="4"/>
  <c r="X162" i="11"/>
  <c r="Y162" i="11"/>
  <c r="V162" i="11"/>
  <c r="C136" i="2"/>
  <c r="D120" i="2"/>
  <c r="H120" i="2"/>
  <c r="E120" i="2"/>
  <c r="F120" i="2"/>
  <c r="G120" i="2"/>
  <c r="S120" i="2" s="1"/>
  <c r="J120" i="2"/>
  <c r="U120" i="2" s="1"/>
  <c r="I120" i="2"/>
  <c r="T120" i="2" s="1"/>
  <c r="G219" i="11"/>
  <c r="S190" i="11"/>
  <c r="AA105" i="2"/>
  <c r="AA183" i="1" s="1"/>
  <c r="T183" i="1"/>
  <c r="W92" i="2"/>
  <c r="W157" i="1" s="1"/>
  <c r="U157" i="1"/>
  <c r="S185" i="1"/>
  <c r="X107" i="2"/>
  <c r="X185" i="1" s="1"/>
  <c r="Y107" i="2"/>
  <c r="Y185" i="1" s="1"/>
  <c r="V107" i="2"/>
  <c r="Z107" i="2"/>
  <c r="Z185" i="1" s="1"/>
  <c r="D119" i="2"/>
  <c r="E119" i="2"/>
  <c r="C135" i="2"/>
  <c r="F119" i="2"/>
  <c r="G119" i="2"/>
  <c r="S119" i="2" s="1"/>
  <c r="H119" i="2"/>
  <c r="J119" i="2"/>
  <c r="U119" i="2" s="1"/>
  <c r="I119" i="2"/>
  <c r="T119" i="2" s="1"/>
  <c r="AC199" i="4"/>
  <c r="Z156" i="11"/>
  <c r="AC127" i="4"/>
  <c r="AC340" i="1"/>
  <c r="AD340" i="1" s="1"/>
  <c r="AF340" i="1" s="1"/>
  <c r="AG340" i="1" s="1"/>
  <c r="AC227" i="1"/>
  <c r="AD227" i="1" s="1"/>
  <c r="AF227" i="1" s="1"/>
  <c r="AG227" i="1" s="1"/>
  <c r="AC194" i="4"/>
  <c r="AC89" i="2"/>
  <c r="X334" i="1"/>
  <c r="X190" i="4"/>
  <c r="G220" i="11"/>
  <c r="S191" i="11"/>
  <c r="W105" i="2"/>
  <c r="W183" i="1" s="1"/>
  <c r="U183" i="1"/>
  <c r="X166" i="11"/>
  <c r="Y166" i="11"/>
  <c r="V166" i="11"/>
  <c r="X164" i="11"/>
  <c r="Y164" i="11"/>
  <c r="V164" i="11"/>
  <c r="Z164" i="11"/>
  <c r="X171" i="11"/>
  <c r="Y171" i="11"/>
  <c r="V171" i="11"/>
  <c r="AC336" i="1"/>
  <c r="AD336" i="1" s="1"/>
  <c r="AF336" i="1" s="1"/>
  <c r="AG336" i="1" s="1"/>
  <c r="X155" i="11"/>
  <c r="Y155" i="11"/>
  <c r="V155" i="11"/>
  <c r="V159" i="1"/>
  <c r="AC159" i="1" s="1"/>
  <c r="AD159" i="1" s="1"/>
  <c r="AF159" i="1" s="1"/>
  <c r="AG159" i="1" s="1"/>
  <c r="AC94" i="2"/>
  <c r="X159" i="11"/>
  <c r="Y159" i="11"/>
  <c r="V159" i="11"/>
  <c r="Z159" i="11"/>
  <c r="AC156" i="1"/>
  <c r="AD156" i="1" s="1"/>
  <c r="AF156" i="1" s="1"/>
  <c r="AG156" i="1" s="1"/>
  <c r="G224" i="11"/>
  <c r="S195" i="11"/>
  <c r="W59" i="5"/>
  <c r="W229" i="1"/>
  <c r="AC229" i="1" s="1"/>
  <c r="AD229" i="1" s="1"/>
  <c r="AF229" i="1" s="1"/>
  <c r="AG229" i="1" s="1"/>
  <c r="G222" i="11"/>
  <c r="S193" i="11"/>
  <c r="G227" i="11"/>
  <c r="S198" i="11"/>
  <c r="AA93" i="2"/>
  <c r="AA158" i="1" s="1"/>
  <c r="T158" i="1"/>
  <c r="U218" i="1"/>
  <c r="W124" i="4"/>
  <c r="U122" i="4"/>
  <c r="AC98" i="11"/>
  <c r="AD98" i="11" s="1"/>
  <c r="AF98" i="11" s="1"/>
  <c r="AG98" i="11" s="1"/>
  <c r="AC221" i="1"/>
  <c r="AD221" i="1" s="1"/>
  <c r="AF221" i="1" s="1"/>
  <c r="AG221" i="1" s="1"/>
  <c r="AC99" i="11"/>
  <c r="AD99" i="11" s="1"/>
  <c r="AF99" i="11" s="1"/>
  <c r="AG99" i="11" s="1"/>
  <c r="AC197" i="4"/>
  <c r="G213" i="11"/>
  <c r="S184" i="11"/>
  <c r="G217" i="11"/>
  <c r="S188" i="11"/>
  <c r="X157" i="11"/>
  <c r="Y157" i="11"/>
  <c r="V157" i="11"/>
  <c r="V128" i="1"/>
  <c r="V119" i="1" s="1"/>
  <c r="AC76" i="2"/>
  <c r="AC67" i="2" s="1"/>
  <c r="W102" i="2"/>
  <c r="W180" i="1" s="1"/>
  <c r="U180" i="1"/>
  <c r="AC339" i="1"/>
  <c r="AD339" i="1" s="1"/>
  <c r="AF339" i="1" s="1"/>
  <c r="AG339" i="1" s="1"/>
  <c r="X170" i="11"/>
  <c r="Y170" i="11"/>
  <c r="V170" i="11"/>
  <c r="V122" i="4"/>
  <c r="V218" i="1"/>
  <c r="S157" i="1"/>
  <c r="S148" i="1" s="1"/>
  <c r="S146" i="1" s="1"/>
  <c r="X92" i="2"/>
  <c r="X157" i="1" s="1"/>
  <c r="Y92" i="2"/>
  <c r="Y157" i="1" s="1"/>
  <c r="V92" i="2"/>
  <c r="Z92" i="2"/>
  <c r="C139" i="2"/>
  <c r="H123" i="2"/>
  <c r="G123" i="2"/>
  <c r="S123" i="2" s="1"/>
  <c r="F123" i="2"/>
  <c r="E123" i="2"/>
  <c r="D123" i="2"/>
  <c r="J123" i="2"/>
  <c r="U123" i="2" s="1"/>
  <c r="I123" i="2"/>
  <c r="T123" i="2" s="1"/>
  <c r="G215" i="11"/>
  <c r="S186" i="11"/>
  <c r="I83" i="2"/>
  <c r="AC132" i="4"/>
  <c r="AC342" i="1"/>
  <c r="AD342" i="1" s="1"/>
  <c r="AF342" i="1" s="1"/>
  <c r="AG342" i="1" s="1"/>
  <c r="AC86" i="2"/>
  <c r="X153" i="11"/>
  <c r="Y153" i="11"/>
  <c r="V153" i="11"/>
  <c r="X169" i="11"/>
  <c r="Y169" i="11"/>
  <c r="V169" i="11"/>
  <c r="G228" i="11"/>
  <c r="S199" i="11"/>
  <c r="X160" i="11"/>
  <c r="Y160" i="11"/>
  <c r="V160" i="11"/>
  <c r="X154" i="11"/>
  <c r="Y154" i="11"/>
  <c r="V154" i="11"/>
  <c r="Y218" i="1"/>
  <c r="Y122" i="4"/>
  <c r="H121" i="2"/>
  <c r="C137" i="2"/>
  <c r="G121" i="2"/>
  <c r="S121" i="2" s="1"/>
  <c r="F121" i="2"/>
  <c r="D121" i="2"/>
  <c r="E121" i="2"/>
  <c r="J121" i="2"/>
  <c r="U121" i="2" s="1"/>
  <c r="I121" i="2"/>
  <c r="T121" i="2" s="1"/>
  <c r="H108" i="2"/>
  <c r="C124" i="2"/>
  <c r="G108" i="2"/>
  <c r="S108" i="2" s="1"/>
  <c r="S99" i="2" s="1"/>
  <c r="S97" i="2" s="1"/>
  <c r="D108" i="2"/>
  <c r="E108" i="2"/>
  <c r="F108" i="2"/>
  <c r="J108" i="2"/>
  <c r="U108" i="2" s="1"/>
  <c r="I108" i="2"/>
  <c r="T108" i="2" s="1"/>
  <c r="AA102" i="2"/>
  <c r="AA180" i="1" s="1"/>
  <c r="T180" i="1"/>
  <c r="T150" i="1"/>
  <c r="T148" i="1" s="1"/>
  <c r="T83" i="2"/>
  <c r="AA85" i="2"/>
  <c r="AC110" i="11"/>
  <c r="AD110" i="11" s="1"/>
  <c r="AF110" i="11" s="1"/>
  <c r="AG110" i="11" s="1"/>
  <c r="AC97" i="11"/>
  <c r="AD97" i="11" s="1"/>
  <c r="AF97" i="11" s="1"/>
  <c r="AG97" i="11" s="1"/>
  <c r="AC105" i="11"/>
  <c r="AD105" i="11" s="1"/>
  <c r="AF105" i="11" s="1"/>
  <c r="AG105" i="11" s="1"/>
  <c r="AC19" i="2"/>
  <c r="AC108" i="11"/>
  <c r="AD108" i="11" s="1"/>
  <c r="AF108" i="11" s="1"/>
  <c r="AG108" i="11" s="1"/>
  <c r="AC96" i="11"/>
  <c r="AD96" i="11" s="1"/>
  <c r="AF96" i="11" s="1"/>
  <c r="AG96" i="11" s="1"/>
  <c r="AC95" i="11"/>
  <c r="AD95" i="11" s="1"/>
  <c r="AF95" i="11" s="1"/>
  <c r="AG95" i="11" s="1"/>
  <c r="AC109" i="11"/>
  <c r="AD109" i="11" s="1"/>
  <c r="AF109" i="11" s="1"/>
  <c r="AG109" i="11" s="1"/>
  <c r="AC114" i="11"/>
  <c r="AD114" i="11" s="1"/>
  <c r="AF114" i="11" s="1"/>
  <c r="AG114" i="11" s="1"/>
  <c r="J165" i="11"/>
  <c r="U136" i="11"/>
  <c r="W136" i="11" s="1"/>
  <c r="AC136" i="11" s="1"/>
  <c r="AD136" i="11" s="1"/>
  <c r="AF136" i="11" s="1"/>
  <c r="AG136" i="11" s="1"/>
  <c r="J168" i="11"/>
  <c r="U139" i="11"/>
  <c r="W139" i="11" s="1"/>
  <c r="AC139" i="11" s="1"/>
  <c r="AD139" i="11" s="1"/>
  <c r="AF139" i="11" s="1"/>
  <c r="AG139" i="11" s="1"/>
  <c r="J160" i="11"/>
  <c r="U131" i="11"/>
  <c r="W131" i="11" s="1"/>
  <c r="AC131" i="11" s="1"/>
  <c r="AD131" i="11" s="1"/>
  <c r="AF131" i="11" s="1"/>
  <c r="AG131" i="11" s="1"/>
  <c r="J161" i="11"/>
  <c r="U132" i="11"/>
  <c r="W132" i="11" s="1"/>
  <c r="AC132" i="11" s="1"/>
  <c r="AD132" i="11" s="1"/>
  <c r="AF132" i="11" s="1"/>
  <c r="AG132" i="11" s="1"/>
  <c r="U90" i="11"/>
  <c r="W92" i="11"/>
  <c r="W90" i="11" s="1"/>
  <c r="J154" i="11"/>
  <c r="U125" i="11"/>
  <c r="W125" i="11" s="1"/>
  <c r="AC125" i="11" s="1"/>
  <c r="AD125" i="11" s="1"/>
  <c r="AF125" i="11" s="1"/>
  <c r="AG125" i="11" s="1"/>
  <c r="J162" i="11"/>
  <c r="U133" i="11"/>
  <c r="W133" i="11" s="1"/>
  <c r="AC133" i="11" s="1"/>
  <c r="AD133" i="11" s="1"/>
  <c r="AF133" i="11" s="1"/>
  <c r="AG133" i="11" s="1"/>
  <c r="J150" i="11"/>
  <c r="J119" i="11"/>
  <c r="U121" i="11"/>
  <c r="J159" i="11"/>
  <c r="U130" i="11"/>
  <c r="W130" i="11" s="1"/>
  <c r="AC130" i="11" s="1"/>
  <c r="AD130" i="11" s="1"/>
  <c r="AF130" i="11" s="1"/>
  <c r="AG130" i="11" s="1"/>
  <c r="J151" i="11"/>
  <c r="U122" i="11"/>
  <c r="W122" i="11" s="1"/>
  <c r="J155" i="11"/>
  <c r="U126" i="11"/>
  <c r="W126" i="11" s="1"/>
  <c r="AC126" i="11" s="1"/>
  <c r="AD126" i="11" s="1"/>
  <c r="AF126" i="11" s="1"/>
  <c r="AG126" i="11" s="1"/>
  <c r="J171" i="11"/>
  <c r="U142" i="11"/>
  <c r="W142" i="11" s="1"/>
  <c r="AC142" i="11" s="1"/>
  <c r="AD142" i="11" s="1"/>
  <c r="AF142" i="11" s="1"/>
  <c r="AG142" i="11" s="1"/>
  <c r="AC113" i="11"/>
  <c r="AD113" i="11" s="1"/>
  <c r="AF113" i="11" s="1"/>
  <c r="AG113" i="11" s="1"/>
  <c r="J169" i="11"/>
  <c r="U140" i="11"/>
  <c r="W140" i="11" s="1"/>
  <c r="AC140" i="11" s="1"/>
  <c r="AD140" i="11" s="1"/>
  <c r="AF140" i="11" s="1"/>
  <c r="AG140" i="11" s="1"/>
  <c r="J164" i="11"/>
  <c r="U135" i="11"/>
  <c r="W135" i="11" s="1"/>
  <c r="AC135" i="11" s="1"/>
  <c r="AD135" i="11" s="1"/>
  <c r="AF135" i="11" s="1"/>
  <c r="AG135" i="11" s="1"/>
  <c r="J158" i="11"/>
  <c r="U129" i="11"/>
  <c r="W129" i="11" s="1"/>
  <c r="AC129" i="11" s="1"/>
  <c r="AD129" i="11" s="1"/>
  <c r="AF129" i="11" s="1"/>
  <c r="AG129" i="11" s="1"/>
  <c r="J152" i="11"/>
  <c r="U123" i="11"/>
  <c r="W123" i="11" s="1"/>
  <c r="AC123" i="11" s="1"/>
  <c r="AD123" i="11" s="1"/>
  <c r="AF123" i="11" s="1"/>
  <c r="AG123" i="11" s="1"/>
  <c r="J163" i="11"/>
  <c r="U134" i="11"/>
  <c r="W134" i="11" s="1"/>
  <c r="AC134" i="11" s="1"/>
  <c r="AD134" i="11" s="1"/>
  <c r="AF134" i="11" s="1"/>
  <c r="AG134" i="11" s="1"/>
  <c r="J157" i="11"/>
  <c r="U128" i="11"/>
  <c r="W128" i="11" s="1"/>
  <c r="AC128" i="11" s="1"/>
  <c r="AD128" i="11" s="1"/>
  <c r="AF128" i="11" s="1"/>
  <c r="AG128" i="11" s="1"/>
  <c r="T61" i="11"/>
  <c r="AA63" i="11"/>
  <c r="AA61" i="11" s="1"/>
  <c r="J170" i="11"/>
  <c r="U141" i="11"/>
  <c r="W141" i="11" s="1"/>
  <c r="AC141" i="11" s="1"/>
  <c r="AD141" i="11" s="1"/>
  <c r="AF141" i="11" s="1"/>
  <c r="AG141" i="11" s="1"/>
  <c r="J172" i="11"/>
  <c r="U143" i="11"/>
  <c r="W143" i="11" s="1"/>
  <c r="AC143" i="11" s="1"/>
  <c r="AD143" i="11" s="1"/>
  <c r="AF143" i="11" s="1"/>
  <c r="AG143" i="11" s="1"/>
  <c r="I121" i="11"/>
  <c r="T92" i="11"/>
  <c r="I90" i="11"/>
  <c r="J166" i="11"/>
  <c r="U137" i="11"/>
  <c r="W137" i="11" s="1"/>
  <c r="AC137" i="11" s="1"/>
  <c r="AD137" i="11" s="1"/>
  <c r="AF137" i="11" s="1"/>
  <c r="AG137" i="11" s="1"/>
  <c r="J156" i="11"/>
  <c r="U127" i="11"/>
  <c r="W127" i="11" s="1"/>
  <c r="AC127" i="11" s="1"/>
  <c r="AD127" i="11" s="1"/>
  <c r="AF127" i="11" s="1"/>
  <c r="AG127" i="11" s="1"/>
  <c r="J167" i="11"/>
  <c r="U138" i="11"/>
  <c r="W138" i="11" s="1"/>
  <c r="AC138" i="11" s="1"/>
  <c r="AD138" i="11" s="1"/>
  <c r="AF138" i="11" s="1"/>
  <c r="AG138" i="11" s="1"/>
  <c r="J153" i="11"/>
  <c r="U124" i="11"/>
  <c r="W124" i="11" s="1"/>
  <c r="AC124" i="11" s="1"/>
  <c r="AD124" i="11" s="1"/>
  <c r="AF124" i="11" s="1"/>
  <c r="AG124" i="11" s="1"/>
  <c r="AC67" i="5"/>
  <c r="AC171" i="1"/>
  <c r="AD171" i="1" s="1"/>
  <c r="AF171" i="1" s="1"/>
  <c r="AG171" i="1" s="1"/>
  <c r="AD9" i="1"/>
  <c r="AF9" i="1" s="1"/>
  <c r="AG9" i="1" s="1"/>
  <c r="AC287" i="1"/>
  <c r="AD287" i="1" s="1"/>
  <c r="AF287" i="1" s="1"/>
  <c r="AG287" i="1" s="1"/>
  <c r="AC27" i="5"/>
  <c r="AC35" i="5"/>
  <c r="AC258" i="1"/>
  <c r="AD258" i="1" s="1"/>
  <c r="AF258" i="1" s="1"/>
  <c r="AG258" i="1" s="1"/>
  <c r="AC55" i="1"/>
  <c r="AD55" i="1" s="1"/>
  <c r="AF55" i="1" s="1"/>
  <c r="AG55" i="1" s="1"/>
  <c r="AC84" i="1"/>
  <c r="AD84" i="1" s="1"/>
  <c r="AF84" i="1" s="1"/>
  <c r="AG84" i="1" s="1"/>
  <c r="AC26" i="1"/>
  <c r="AI26" i="1" s="1"/>
  <c r="AI27" i="1"/>
  <c r="AD8" i="1"/>
  <c r="AF8" i="1" s="1"/>
  <c r="AG8" i="1" s="1"/>
  <c r="AC113" i="1"/>
  <c r="AD113" i="1" s="1"/>
  <c r="AF113" i="1" s="1"/>
  <c r="AG113" i="1" s="1"/>
  <c r="AC247" i="1"/>
  <c r="AD247" i="1" s="1"/>
  <c r="AF247" i="1" s="1"/>
  <c r="AG247" i="1" s="1"/>
  <c r="AC131" i="1"/>
  <c r="AD131" i="1" s="1"/>
  <c r="AF131" i="1" s="1"/>
  <c r="AG131" i="1" s="1"/>
  <c r="AD27" i="11"/>
  <c r="AF27" i="11" s="1"/>
  <c r="AG27" i="11" s="1"/>
  <c r="AC91" i="5"/>
  <c r="Z3" i="1"/>
  <c r="AI12" i="1"/>
  <c r="AI11" i="1"/>
  <c r="AI19" i="1"/>
  <c r="AC54" i="4"/>
  <c r="AI22" i="1"/>
  <c r="AD22" i="1"/>
  <c r="AF22" i="1" s="1"/>
  <c r="AG22" i="1" s="1"/>
  <c r="Z32" i="1"/>
  <c r="AC88" i="4"/>
  <c r="AC139" i="4"/>
  <c r="AC105" i="4"/>
  <c r="AC20" i="4"/>
  <c r="AC142" i="1"/>
  <c r="AD142" i="1" s="1"/>
  <c r="AF142" i="1" s="1"/>
  <c r="AG142" i="1" s="1"/>
  <c r="AD12" i="11"/>
  <c r="AF12" i="11" s="1"/>
  <c r="AG12" i="11" s="1"/>
  <c r="AI12" i="11"/>
  <c r="Z77" i="1"/>
  <c r="AC77" i="1" s="1"/>
  <c r="AD77" i="1" s="1"/>
  <c r="AF77" i="1" s="1"/>
  <c r="AG77" i="1" s="1"/>
  <c r="AC48" i="1"/>
  <c r="AD48" i="1" s="1"/>
  <c r="AF48" i="1" s="1"/>
  <c r="AG48" i="1" s="1"/>
  <c r="Z90" i="1"/>
  <c r="AD22" i="11"/>
  <c r="AF22" i="11" s="1"/>
  <c r="AG22" i="11" s="1"/>
  <c r="AI22" i="11"/>
  <c r="AD5" i="11"/>
  <c r="AF5" i="11" s="1"/>
  <c r="AG5" i="11" s="1"/>
  <c r="AI5" i="11"/>
  <c r="AD34" i="1"/>
  <c r="AF34" i="1" s="1"/>
  <c r="AG34" i="1" s="1"/>
  <c r="AC83" i="5"/>
  <c r="AD9" i="11"/>
  <c r="AF9" i="11" s="1"/>
  <c r="AG9" i="11" s="1"/>
  <c r="AI9" i="11"/>
  <c r="AA90" i="1"/>
  <c r="AA63" i="1"/>
  <c r="AA61" i="1" s="1"/>
  <c r="I33" i="10" s="1"/>
  <c r="AA32" i="1"/>
  <c r="G33" i="10" s="1"/>
  <c r="Z76" i="1"/>
  <c r="AC76" i="1" s="1"/>
  <c r="AD76" i="1" s="1"/>
  <c r="AF76" i="1" s="1"/>
  <c r="AG76" i="1" s="1"/>
  <c r="AC47" i="1"/>
  <c r="AD47" i="1" s="1"/>
  <c r="AF47" i="1" s="1"/>
  <c r="AG47" i="1" s="1"/>
  <c r="AC71" i="4"/>
  <c r="Z75" i="1"/>
  <c r="AC75" i="1" s="1"/>
  <c r="AD75" i="1" s="1"/>
  <c r="AF75" i="1" s="1"/>
  <c r="AG75" i="1" s="1"/>
  <c r="AC46" i="1"/>
  <c r="AD46" i="1" s="1"/>
  <c r="AF46" i="1" s="1"/>
  <c r="AG46" i="1" s="1"/>
  <c r="W61" i="1"/>
  <c r="I29" i="10" s="1"/>
  <c r="Z81" i="1"/>
  <c r="AC81" i="1" s="1"/>
  <c r="AD81" i="1" s="1"/>
  <c r="AF81" i="1" s="1"/>
  <c r="AG81" i="1" s="1"/>
  <c r="AC52" i="1"/>
  <c r="AD52" i="1" s="1"/>
  <c r="AF52" i="1" s="1"/>
  <c r="AG52" i="1" s="1"/>
  <c r="Z79" i="1"/>
  <c r="AC79" i="1" s="1"/>
  <c r="AD79" i="1" s="1"/>
  <c r="AF79" i="1" s="1"/>
  <c r="AG79" i="1" s="1"/>
  <c r="AC50" i="1"/>
  <c r="AD50" i="1" s="1"/>
  <c r="AF50" i="1" s="1"/>
  <c r="AG50" i="1" s="1"/>
  <c r="Z78" i="1"/>
  <c r="AC78" i="1" s="1"/>
  <c r="AD78" i="1" s="1"/>
  <c r="AF78" i="1" s="1"/>
  <c r="AG78" i="1" s="1"/>
  <c r="AC49" i="1"/>
  <c r="AD49" i="1" s="1"/>
  <c r="AF49" i="1" s="1"/>
  <c r="AG49" i="1" s="1"/>
  <c r="AD17" i="11"/>
  <c r="AF17" i="11" s="1"/>
  <c r="AG17" i="11" s="1"/>
  <c r="AI17" i="11"/>
  <c r="AC59" i="5"/>
  <c r="AC156" i="4"/>
  <c r="AC173" i="4"/>
  <c r="Z119" i="1"/>
  <c r="AD15" i="11"/>
  <c r="AF15" i="11" s="1"/>
  <c r="AG15" i="11" s="1"/>
  <c r="AC44" i="1"/>
  <c r="AD44" i="1" s="1"/>
  <c r="AF44" i="1" s="1"/>
  <c r="AG44" i="1" s="1"/>
  <c r="Z74" i="1"/>
  <c r="AC74" i="1" s="1"/>
  <c r="AD74" i="1" s="1"/>
  <c r="AF74" i="1" s="1"/>
  <c r="AG74" i="1" s="1"/>
  <c r="AC45" i="1"/>
  <c r="AD45" i="1" s="1"/>
  <c r="AF45" i="1" s="1"/>
  <c r="AG45" i="1" s="1"/>
  <c r="Z85" i="1"/>
  <c r="AC85" i="1" s="1"/>
  <c r="AD85" i="1" s="1"/>
  <c r="AF85" i="1" s="1"/>
  <c r="AG85" i="1" s="1"/>
  <c r="AC56" i="1"/>
  <c r="AD56" i="1" s="1"/>
  <c r="AF56" i="1" s="1"/>
  <c r="AG56" i="1" s="1"/>
  <c r="AD19" i="11"/>
  <c r="AF19" i="11" s="1"/>
  <c r="AG19" i="11" s="1"/>
  <c r="AD11" i="11"/>
  <c r="AF11" i="11" s="1"/>
  <c r="AG11" i="11" s="1"/>
  <c r="AI11" i="11"/>
  <c r="AC121" i="1"/>
  <c r="Z83" i="1"/>
  <c r="AC83" i="1" s="1"/>
  <c r="AD83" i="1" s="1"/>
  <c r="AF83" i="1" s="1"/>
  <c r="AG83" i="1" s="1"/>
  <c r="AC54" i="1"/>
  <c r="AD54" i="1" s="1"/>
  <c r="AF54" i="1" s="1"/>
  <c r="AG54" i="1" s="1"/>
  <c r="AC73" i="1"/>
  <c r="AD73" i="1" s="1"/>
  <c r="AF73" i="1" s="1"/>
  <c r="AG73" i="1" s="1"/>
  <c r="Z80" i="1"/>
  <c r="AC80" i="1" s="1"/>
  <c r="AD80" i="1" s="1"/>
  <c r="AF80" i="1" s="1"/>
  <c r="AG80" i="1" s="1"/>
  <c r="AC51" i="1"/>
  <c r="AD51" i="1" s="1"/>
  <c r="AF51" i="1" s="1"/>
  <c r="AG51" i="1" s="1"/>
  <c r="AC92" i="1"/>
  <c r="AC37" i="4"/>
  <c r="I179" i="1"/>
  <c r="I148" i="1"/>
  <c r="J295" i="1"/>
  <c r="J264" i="1"/>
  <c r="E36" i="10"/>
  <c r="Z90" i="11"/>
  <c r="Z61" i="11"/>
  <c r="AC63" i="11"/>
  <c r="Z32" i="11"/>
  <c r="AC34" i="11"/>
  <c r="AD15" i="1"/>
  <c r="AF15" i="1" s="1"/>
  <c r="AG15" i="1" s="1"/>
  <c r="Z3" i="11"/>
  <c r="AC6" i="11"/>
  <c r="AD14" i="1"/>
  <c r="AH14" i="1" s="1"/>
  <c r="AI14" i="1" s="1"/>
  <c r="AD14" i="11"/>
  <c r="AF14" i="11" s="1"/>
  <c r="AG14" i="11" s="1"/>
  <c r="AD13" i="1"/>
  <c r="AF13" i="1" s="1"/>
  <c r="AG13" i="1" s="1"/>
  <c r="AD13" i="11"/>
  <c r="AF13" i="11" s="1"/>
  <c r="AG13" i="11" s="1"/>
  <c r="AD21" i="1"/>
  <c r="AF21" i="1" s="1"/>
  <c r="AG21" i="1" s="1"/>
  <c r="AD21" i="11"/>
  <c r="AF21" i="11" s="1"/>
  <c r="AG21" i="11" s="1"/>
  <c r="AD16" i="1"/>
  <c r="AF16" i="1" s="1"/>
  <c r="AG16" i="1" s="1"/>
  <c r="AD16" i="11"/>
  <c r="AF16" i="11" s="1"/>
  <c r="AG16" i="11" s="1"/>
  <c r="AD23" i="1"/>
  <c r="AF23" i="1" s="1"/>
  <c r="AG23" i="1" s="1"/>
  <c r="AD23" i="11"/>
  <c r="AF23" i="11" s="1"/>
  <c r="AG23" i="11" s="1"/>
  <c r="AD26" i="11"/>
  <c r="AF26" i="11" s="1"/>
  <c r="AG26" i="11" s="1"/>
  <c r="AA3" i="11"/>
  <c r="AD8" i="11"/>
  <c r="AF8" i="11" s="1"/>
  <c r="AG8" i="11" s="1"/>
  <c r="AD24" i="1"/>
  <c r="AF24" i="1" s="1"/>
  <c r="AG24" i="1" s="1"/>
  <c r="AD24" i="11"/>
  <c r="AF24" i="11" s="1"/>
  <c r="AG24" i="11" s="1"/>
  <c r="AD7" i="1"/>
  <c r="AF7" i="1" s="1"/>
  <c r="AG7" i="1" s="1"/>
  <c r="AD7" i="11"/>
  <c r="AF7" i="11" s="1"/>
  <c r="AG7" i="11" s="1"/>
  <c r="AD25" i="1"/>
  <c r="AH25" i="1" s="1"/>
  <c r="AI25" i="1" s="1"/>
  <c r="AD25" i="11"/>
  <c r="AF25" i="11" s="1"/>
  <c r="AG25" i="11" s="1"/>
  <c r="AD10" i="1"/>
  <c r="AF10" i="1" s="1"/>
  <c r="AG10" i="1" s="1"/>
  <c r="AD10" i="11"/>
  <c r="AF10" i="11" s="1"/>
  <c r="AG10" i="11" s="1"/>
  <c r="AD18" i="1"/>
  <c r="AH18" i="1" s="1"/>
  <c r="AI18" i="1" s="1"/>
  <c r="AD18" i="11"/>
  <c r="AF18" i="11" s="1"/>
  <c r="AG18" i="11" s="1"/>
  <c r="AD20" i="1"/>
  <c r="AH20" i="1" s="1"/>
  <c r="AI20" i="1" s="1"/>
  <c r="AD20" i="11"/>
  <c r="AF20" i="11" s="1"/>
  <c r="AG20" i="11" s="1"/>
  <c r="AC3" i="5"/>
  <c r="AH21" i="1"/>
  <c r="AI21" i="1" s="1"/>
  <c r="AC3" i="2"/>
  <c r="AD6" i="1"/>
  <c r="AF6" i="1" s="1"/>
  <c r="AG6" i="1" s="1"/>
  <c r="AH13" i="1"/>
  <c r="AI13" i="1" s="1"/>
  <c r="AA3" i="1"/>
  <c r="AH10" i="1"/>
  <c r="AI10" i="1" s="1"/>
  <c r="AH23" i="1"/>
  <c r="AI23" i="1" s="1"/>
  <c r="AH24" i="1"/>
  <c r="AI24" i="1" s="1"/>
  <c r="AC3" i="4"/>
  <c r="AH16" i="1"/>
  <c r="AI16" i="1" s="1"/>
  <c r="AH15" i="1"/>
  <c r="AI15" i="1" s="1"/>
  <c r="AI17" i="1" l="1"/>
  <c r="I118" i="10"/>
  <c r="V83" i="2"/>
  <c r="X148" i="1"/>
  <c r="K40" i="10"/>
  <c r="K67" i="10"/>
  <c r="AA126" i="2"/>
  <c r="AA217" i="1" s="1"/>
  <c r="T217" i="1"/>
  <c r="G56" i="10"/>
  <c r="G57" i="10" s="1"/>
  <c r="G55" i="10" s="1"/>
  <c r="G118" i="10" s="1"/>
  <c r="X195" i="11"/>
  <c r="Y195" i="11"/>
  <c r="V195" i="11"/>
  <c r="Z195" i="11"/>
  <c r="C149" i="2"/>
  <c r="F133" i="2"/>
  <c r="G133" i="2"/>
  <c r="S133" i="2" s="1"/>
  <c r="D133" i="2"/>
  <c r="E133" i="2"/>
  <c r="H133" i="2"/>
  <c r="J133" i="2"/>
  <c r="I133" i="2"/>
  <c r="X196" i="11"/>
  <c r="Y196" i="11"/>
  <c r="V196" i="11"/>
  <c r="Z196" i="11"/>
  <c r="W118" i="2"/>
  <c r="W209" i="1" s="1"/>
  <c r="U209" i="1"/>
  <c r="W126" i="2"/>
  <c r="W217" i="1" s="1"/>
  <c r="U217" i="1"/>
  <c r="K38" i="10"/>
  <c r="G254" i="11"/>
  <c r="S225" i="11"/>
  <c r="X194" i="11"/>
  <c r="Y194" i="11"/>
  <c r="V194" i="11"/>
  <c r="Z194" i="11"/>
  <c r="AA109" i="2"/>
  <c r="AA187" i="1" s="1"/>
  <c r="T187" i="1"/>
  <c r="S217" i="1"/>
  <c r="X126" i="2"/>
  <c r="X217" i="1" s="1"/>
  <c r="Y126" i="2"/>
  <c r="Y217" i="1" s="1"/>
  <c r="V126" i="2"/>
  <c r="Z126" i="2"/>
  <c r="Z217" i="1" s="1"/>
  <c r="G252" i="11"/>
  <c r="S223" i="11"/>
  <c r="J99" i="2"/>
  <c r="X191" i="11"/>
  <c r="Y191" i="11"/>
  <c r="V191" i="11"/>
  <c r="Z191" i="11"/>
  <c r="V184" i="1"/>
  <c r="AC184" i="1" s="1"/>
  <c r="AD184" i="1" s="1"/>
  <c r="AF184" i="1" s="1"/>
  <c r="AG184" i="1" s="1"/>
  <c r="AC106" i="2"/>
  <c r="G255" i="11"/>
  <c r="S226" i="11"/>
  <c r="W121" i="2"/>
  <c r="W212" i="1" s="1"/>
  <c r="U212" i="1"/>
  <c r="G257" i="11"/>
  <c r="S228" i="11"/>
  <c r="W123" i="2"/>
  <c r="W214" i="1" s="1"/>
  <c r="U214" i="1"/>
  <c r="G253" i="11"/>
  <c r="S224" i="11"/>
  <c r="V185" i="1"/>
  <c r="AC185" i="1" s="1"/>
  <c r="AD185" i="1" s="1"/>
  <c r="AF185" i="1" s="1"/>
  <c r="AG185" i="1" s="1"/>
  <c r="AC107" i="2"/>
  <c r="V188" i="1"/>
  <c r="AC188" i="1" s="1"/>
  <c r="AD188" i="1" s="1"/>
  <c r="AF188" i="1" s="1"/>
  <c r="AG188" i="1" s="1"/>
  <c r="AC110" i="2"/>
  <c r="AA83" i="2"/>
  <c r="AA150" i="1"/>
  <c r="C152" i="2"/>
  <c r="G136" i="2"/>
  <c r="S136" i="2" s="1"/>
  <c r="H136" i="2"/>
  <c r="E136" i="2"/>
  <c r="D136" i="2"/>
  <c r="F136" i="2"/>
  <c r="J136" i="2"/>
  <c r="U136" i="2" s="1"/>
  <c r="I136" i="2"/>
  <c r="T136" i="2" s="1"/>
  <c r="Z179" i="1"/>
  <c r="AA122" i="2"/>
  <c r="AA213" i="1" s="1"/>
  <c r="T213" i="1"/>
  <c r="W109" i="2"/>
  <c r="W187" i="1" s="1"/>
  <c r="U187" i="1"/>
  <c r="S209" i="1"/>
  <c r="X118" i="2"/>
  <c r="X209" i="1" s="1"/>
  <c r="Y118" i="2"/>
  <c r="Y209" i="1" s="1"/>
  <c r="V118" i="2"/>
  <c r="Z118" i="2"/>
  <c r="Z209" i="1" s="1"/>
  <c r="W101" i="2"/>
  <c r="U99" i="2"/>
  <c r="U179" i="1"/>
  <c r="X184" i="11"/>
  <c r="Y184" i="11"/>
  <c r="V184" i="11"/>
  <c r="Z184" i="11"/>
  <c r="G250" i="11"/>
  <c r="S221" i="11"/>
  <c r="X199" i="11"/>
  <c r="Y199" i="11"/>
  <c r="V199" i="11"/>
  <c r="Z199" i="11"/>
  <c r="V182" i="1"/>
  <c r="AC182" i="1" s="1"/>
  <c r="AD182" i="1" s="1"/>
  <c r="AF182" i="1" s="1"/>
  <c r="AG182" i="1" s="1"/>
  <c r="AC104" i="2"/>
  <c r="AC93" i="11"/>
  <c r="AD93" i="11" s="1"/>
  <c r="AF93" i="11" s="1"/>
  <c r="AG93" i="11" s="1"/>
  <c r="AA128" i="1"/>
  <c r="AA119" i="1" s="1"/>
  <c r="AA67" i="2"/>
  <c r="AA122" i="4"/>
  <c r="AA218" i="1"/>
  <c r="V179" i="1"/>
  <c r="W122" i="2"/>
  <c r="W213" i="1" s="1"/>
  <c r="U213" i="1"/>
  <c r="D142" i="2"/>
  <c r="C158" i="2"/>
  <c r="G142" i="2"/>
  <c r="S142" i="2" s="1"/>
  <c r="F142" i="2"/>
  <c r="E142" i="2"/>
  <c r="H142" i="2"/>
  <c r="J142" i="2"/>
  <c r="U142" i="2" s="1"/>
  <c r="I142" i="2"/>
  <c r="T142" i="2" s="1"/>
  <c r="G251" i="11"/>
  <c r="S222" i="11"/>
  <c r="S208" i="1"/>
  <c r="X117" i="2"/>
  <c r="Y117" i="2"/>
  <c r="V117" i="2"/>
  <c r="Z117" i="2"/>
  <c r="G242" i="11"/>
  <c r="S213" i="11"/>
  <c r="S212" i="1"/>
  <c r="X121" i="2"/>
  <c r="X212" i="1" s="1"/>
  <c r="Y121" i="2"/>
  <c r="Y212" i="1" s="1"/>
  <c r="V121" i="2"/>
  <c r="Z121" i="2"/>
  <c r="Z212" i="1" s="1"/>
  <c r="S214" i="1"/>
  <c r="X123" i="2"/>
  <c r="X214" i="1" s="1"/>
  <c r="Y123" i="2"/>
  <c r="Y214" i="1" s="1"/>
  <c r="V123" i="2"/>
  <c r="Z123" i="2"/>
  <c r="Z214" i="1" s="1"/>
  <c r="X201" i="11"/>
  <c r="Y201" i="11"/>
  <c r="V201" i="11"/>
  <c r="Z201" i="11"/>
  <c r="X181" i="11"/>
  <c r="Y181" i="11"/>
  <c r="V181" i="11"/>
  <c r="Z181" i="11"/>
  <c r="Y179" i="1"/>
  <c r="Y177" i="1" s="1"/>
  <c r="F125" i="2"/>
  <c r="C141" i="2"/>
  <c r="H125" i="2"/>
  <c r="G125" i="2"/>
  <c r="S125" i="2" s="1"/>
  <c r="E125" i="2"/>
  <c r="D125" i="2"/>
  <c r="J125" i="2"/>
  <c r="U125" i="2" s="1"/>
  <c r="I125" i="2"/>
  <c r="T125" i="2" s="1"/>
  <c r="F134" i="2"/>
  <c r="E134" i="2"/>
  <c r="C150" i="2"/>
  <c r="H134" i="2"/>
  <c r="G134" i="2"/>
  <c r="S134" i="2" s="1"/>
  <c r="D134" i="2"/>
  <c r="J134" i="2"/>
  <c r="U134" i="2" s="1"/>
  <c r="I134" i="2"/>
  <c r="T134" i="2" s="1"/>
  <c r="V180" i="1"/>
  <c r="AC180" i="1" s="1"/>
  <c r="AD180" i="1" s="1"/>
  <c r="AF180" i="1" s="1"/>
  <c r="AG180" i="1" s="1"/>
  <c r="AC102" i="2"/>
  <c r="D135" i="2"/>
  <c r="C151" i="2"/>
  <c r="G135" i="2"/>
  <c r="S135" i="2" s="1"/>
  <c r="F135" i="2"/>
  <c r="E135" i="2"/>
  <c r="H135" i="2"/>
  <c r="J135" i="2"/>
  <c r="U135" i="2" s="1"/>
  <c r="I135" i="2"/>
  <c r="T135" i="2" s="1"/>
  <c r="G239" i="11"/>
  <c r="S210" i="11"/>
  <c r="AC128" i="1"/>
  <c r="AD128" i="1" s="1"/>
  <c r="AF128" i="1" s="1"/>
  <c r="AG128" i="1" s="1"/>
  <c r="T179" i="1"/>
  <c r="T99" i="2"/>
  <c r="AA101" i="2"/>
  <c r="U148" i="1"/>
  <c r="Y83" i="2"/>
  <c r="S213" i="1"/>
  <c r="X122" i="2"/>
  <c r="X213" i="1" s="1"/>
  <c r="Y122" i="2"/>
  <c r="Y213" i="1" s="1"/>
  <c r="V122" i="2"/>
  <c r="Z122" i="2"/>
  <c r="Z213" i="1" s="1"/>
  <c r="S187" i="1"/>
  <c r="X109" i="2"/>
  <c r="X187" i="1" s="1"/>
  <c r="Y109" i="2"/>
  <c r="Y187" i="1" s="1"/>
  <c r="V109" i="2"/>
  <c r="Z109" i="2"/>
  <c r="Z187" i="1" s="1"/>
  <c r="V183" i="1"/>
  <c r="AC183" i="1" s="1"/>
  <c r="AD183" i="1" s="1"/>
  <c r="AF183" i="1" s="1"/>
  <c r="AG183" i="1" s="1"/>
  <c r="AC105" i="2"/>
  <c r="G241" i="11"/>
  <c r="S212" i="11"/>
  <c r="H124" i="2"/>
  <c r="G124" i="2"/>
  <c r="S124" i="2" s="1"/>
  <c r="C140" i="2"/>
  <c r="E124" i="2"/>
  <c r="F124" i="2"/>
  <c r="D124" i="2"/>
  <c r="J124" i="2"/>
  <c r="U124" i="2" s="1"/>
  <c r="I124" i="2"/>
  <c r="T124" i="2" s="1"/>
  <c r="G249" i="11"/>
  <c r="S220" i="11"/>
  <c r="X122" i="11"/>
  <c r="X119" i="11" s="1"/>
  <c r="M38" i="10" s="1"/>
  <c r="Y122" i="11"/>
  <c r="Y119" i="11" s="1"/>
  <c r="S119" i="11"/>
  <c r="S117" i="11" s="1"/>
  <c r="V122" i="11"/>
  <c r="V119" i="11" s="1"/>
  <c r="M42" i="10" s="1"/>
  <c r="Z122" i="11"/>
  <c r="Z119" i="11" s="1"/>
  <c r="M34" i="10" s="1"/>
  <c r="G244" i="11"/>
  <c r="S215" i="11"/>
  <c r="AA118" i="2"/>
  <c r="AA209" i="1" s="1"/>
  <c r="T209" i="1"/>
  <c r="W122" i="4"/>
  <c r="W218" i="1"/>
  <c r="W150" i="1"/>
  <c r="W148" i="1" s="1"/>
  <c r="W83" i="2"/>
  <c r="AC85" i="2"/>
  <c r="X179" i="1"/>
  <c r="E139" i="2"/>
  <c r="D139" i="2"/>
  <c r="C155" i="2"/>
  <c r="H139" i="2"/>
  <c r="G139" i="2"/>
  <c r="S139" i="2" s="1"/>
  <c r="F139" i="2"/>
  <c r="J139" i="2"/>
  <c r="U139" i="2" s="1"/>
  <c r="I139" i="2"/>
  <c r="T139" i="2" s="1"/>
  <c r="E34" i="10"/>
  <c r="AA108" i="2"/>
  <c r="AA186" i="1" s="1"/>
  <c r="T186" i="1"/>
  <c r="Z157" i="1"/>
  <c r="Z83" i="2"/>
  <c r="AC192" i="4"/>
  <c r="AC190" i="4" s="1"/>
  <c r="AA334" i="1"/>
  <c r="AC334" i="1" s="1"/>
  <c r="AD334" i="1" s="1"/>
  <c r="AF334" i="1" s="1"/>
  <c r="AG334" i="1" s="1"/>
  <c r="AA190" i="4"/>
  <c r="V181" i="1"/>
  <c r="AC181" i="1" s="1"/>
  <c r="AD181" i="1" s="1"/>
  <c r="AF181" i="1" s="1"/>
  <c r="AG181" i="1" s="1"/>
  <c r="AC103" i="2"/>
  <c r="X83" i="2"/>
  <c r="Y148" i="1"/>
  <c r="G246" i="11"/>
  <c r="S217" i="11"/>
  <c r="AA121" i="2"/>
  <c r="AA212" i="1" s="1"/>
  <c r="T212" i="1"/>
  <c r="W108" i="2"/>
  <c r="W186" i="1" s="1"/>
  <c r="U186" i="1"/>
  <c r="V157" i="1"/>
  <c r="AC92" i="2"/>
  <c r="AA119" i="2"/>
  <c r="AA210" i="1" s="1"/>
  <c r="T210" i="1"/>
  <c r="T117" i="2"/>
  <c r="I115" i="2"/>
  <c r="F138" i="2"/>
  <c r="C154" i="2"/>
  <c r="H138" i="2"/>
  <c r="G138" i="2"/>
  <c r="S138" i="2" s="1"/>
  <c r="E138" i="2"/>
  <c r="D138" i="2"/>
  <c r="J138" i="2"/>
  <c r="U138" i="2" s="1"/>
  <c r="I138" i="2"/>
  <c r="T138" i="2" s="1"/>
  <c r="X200" i="11"/>
  <c r="Y200" i="11"/>
  <c r="V200" i="11"/>
  <c r="Z200" i="11"/>
  <c r="AC124" i="4"/>
  <c r="AC122" i="4" s="1"/>
  <c r="U210" i="1"/>
  <c r="W119" i="2"/>
  <c r="W210" i="1" s="1"/>
  <c r="X190" i="11"/>
  <c r="Y190" i="11"/>
  <c r="V190" i="11"/>
  <c r="Z190" i="11"/>
  <c r="W90" i="1"/>
  <c r="K29" i="10" s="1"/>
  <c r="AC99" i="1"/>
  <c r="AD99" i="1" s="1"/>
  <c r="AF99" i="1" s="1"/>
  <c r="AG99" i="1" s="1"/>
  <c r="U117" i="2"/>
  <c r="V158" i="1"/>
  <c r="AC158" i="1" s="1"/>
  <c r="AD158" i="1" s="1"/>
  <c r="AF158" i="1" s="1"/>
  <c r="AG158" i="1" s="1"/>
  <c r="AC93" i="2"/>
  <c r="X187" i="11"/>
  <c r="Y187" i="11"/>
  <c r="V187" i="11"/>
  <c r="Z187" i="11"/>
  <c r="G258" i="11"/>
  <c r="S229" i="11"/>
  <c r="X192" i="11"/>
  <c r="Y192" i="11"/>
  <c r="V192" i="11"/>
  <c r="Z192" i="11"/>
  <c r="X182" i="11"/>
  <c r="Y182" i="11"/>
  <c r="V182" i="11"/>
  <c r="Z182" i="11"/>
  <c r="G240" i="11"/>
  <c r="S211" i="11"/>
  <c r="G180" i="11"/>
  <c r="S151" i="11"/>
  <c r="H137" i="2"/>
  <c r="C153" i="2"/>
  <c r="D137" i="2"/>
  <c r="E137" i="2"/>
  <c r="F137" i="2"/>
  <c r="G137" i="2"/>
  <c r="S137" i="2" s="1"/>
  <c r="J137" i="2"/>
  <c r="U137" i="2" s="1"/>
  <c r="I137" i="2"/>
  <c r="T137" i="2" s="1"/>
  <c r="G259" i="11"/>
  <c r="S230" i="11"/>
  <c r="X198" i="11"/>
  <c r="Y198" i="11"/>
  <c r="V198" i="11"/>
  <c r="Z198" i="11"/>
  <c r="G248" i="11"/>
  <c r="S219" i="11"/>
  <c r="W190" i="4"/>
  <c r="W334" i="1"/>
  <c r="X185" i="11"/>
  <c r="Y185" i="11"/>
  <c r="V185" i="11"/>
  <c r="Z185" i="11"/>
  <c r="G245" i="11"/>
  <c r="S216" i="11"/>
  <c r="S186" i="1"/>
  <c r="S177" i="1" s="1"/>
  <c r="S175" i="1" s="1"/>
  <c r="X108" i="2"/>
  <c r="X186" i="1" s="1"/>
  <c r="Y108" i="2"/>
  <c r="Y186" i="1" s="1"/>
  <c r="V108" i="2"/>
  <c r="Z108" i="2"/>
  <c r="Z186" i="1" s="1"/>
  <c r="U211" i="1"/>
  <c r="W120" i="2"/>
  <c r="W211" i="1" s="1"/>
  <c r="G247" i="11"/>
  <c r="S218" i="11"/>
  <c r="X186" i="11"/>
  <c r="Y186" i="11"/>
  <c r="V186" i="11"/>
  <c r="Z186" i="11"/>
  <c r="S211" i="1"/>
  <c r="X120" i="2"/>
  <c r="X211" i="1" s="1"/>
  <c r="Y120" i="2"/>
  <c r="Y211" i="1" s="1"/>
  <c r="V120" i="2"/>
  <c r="V211" i="1" s="1"/>
  <c r="Z120" i="2"/>
  <c r="AA123" i="2"/>
  <c r="AA214" i="1" s="1"/>
  <c r="T214" i="1"/>
  <c r="G256" i="11"/>
  <c r="S227" i="11"/>
  <c r="X188" i="11"/>
  <c r="Y188" i="11"/>
  <c r="V188" i="11"/>
  <c r="Z188" i="11"/>
  <c r="X193" i="11"/>
  <c r="Y193" i="11"/>
  <c r="V193" i="11"/>
  <c r="Z193" i="11"/>
  <c r="S210" i="1"/>
  <c r="X119" i="2"/>
  <c r="X210" i="1" s="1"/>
  <c r="Y119" i="2"/>
  <c r="Y210" i="1" s="1"/>
  <c r="V119" i="2"/>
  <c r="Z119" i="2"/>
  <c r="Z210" i="1" s="1"/>
  <c r="AA120" i="2"/>
  <c r="AA211" i="1" s="1"/>
  <c r="T211" i="1"/>
  <c r="X189" i="11"/>
  <c r="Y189" i="11"/>
  <c r="V189" i="11"/>
  <c r="Z189" i="11"/>
  <c r="G243" i="11"/>
  <c r="S214" i="11"/>
  <c r="X197" i="11"/>
  <c r="Y197" i="11"/>
  <c r="V197" i="11"/>
  <c r="Z197" i="11"/>
  <c r="X183" i="11"/>
  <c r="Y183" i="11"/>
  <c r="V183" i="11"/>
  <c r="Z183" i="11"/>
  <c r="J196" i="11"/>
  <c r="U167" i="11"/>
  <c r="W167" i="11" s="1"/>
  <c r="AC167" i="11" s="1"/>
  <c r="AD167" i="11" s="1"/>
  <c r="AF167" i="11" s="1"/>
  <c r="AG167" i="11" s="1"/>
  <c r="I150" i="11"/>
  <c r="T121" i="11"/>
  <c r="I119" i="11"/>
  <c r="J187" i="11"/>
  <c r="U158" i="11"/>
  <c r="W158" i="11" s="1"/>
  <c r="AC158" i="11" s="1"/>
  <c r="AD158" i="11" s="1"/>
  <c r="AF158" i="11" s="1"/>
  <c r="AG158" i="11" s="1"/>
  <c r="J184" i="11"/>
  <c r="U155" i="11"/>
  <c r="W155" i="11" s="1"/>
  <c r="AC155" i="11" s="1"/>
  <c r="AD155" i="11" s="1"/>
  <c r="AF155" i="11" s="1"/>
  <c r="AG155" i="11" s="1"/>
  <c r="J183" i="11"/>
  <c r="U154" i="11"/>
  <c r="W154" i="11" s="1"/>
  <c r="AC154" i="11" s="1"/>
  <c r="AD154" i="11" s="1"/>
  <c r="AF154" i="11" s="1"/>
  <c r="AG154" i="11" s="1"/>
  <c r="J197" i="11"/>
  <c r="U168" i="11"/>
  <c r="W168" i="11" s="1"/>
  <c r="AC168" i="11" s="1"/>
  <c r="AD168" i="11" s="1"/>
  <c r="AF168" i="11" s="1"/>
  <c r="AG168" i="11" s="1"/>
  <c r="J201" i="11"/>
  <c r="U172" i="11"/>
  <c r="W172" i="11" s="1"/>
  <c r="AC172" i="11" s="1"/>
  <c r="AD172" i="11" s="1"/>
  <c r="AF172" i="11" s="1"/>
  <c r="AG172" i="11" s="1"/>
  <c r="J193" i="11"/>
  <c r="U164" i="11"/>
  <c r="W164" i="11" s="1"/>
  <c r="AC164" i="11" s="1"/>
  <c r="AD164" i="11" s="1"/>
  <c r="AF164" i="11" s="1"/>
  <c r="AG164" i="11" s="1"/>
  <c r="J180" i="11"/>
  <c r="U151" i="11"/>
  <c r="W151" i="11" s="1"/>
  <c r="U119" i="11"/>
  <c r="W121" i="11"/>
  <c r="J185" i="11"/>
  <c r="U156" i="11"/>
  <c r="W156" i="11" s="1"/>
  <c r="AC156" i="11" s="1"/>
  <c r="AD156" i="11" s="1"/>
  <c r="AF156" i="11" s="1"/>
  <c r="AG156" i="11" s="1"/>
  <c r="J194" i="11"/>
  <c r="U165" i="11"/>
  <c r="W165" i="11" s="1"/>
  <c r="AC165" i="11" s="1"/>
  <c r="AD165" i="11" s="1"/>
  <c r="AF165" i="11" s="1"/>
  <c r="AG165" i="11" s="1"/>
  <c r="J199" i="11"/>
  <c r="U170" i="11"/>
  <c r="W170" i="11" s="1"/>
  <c r="AC170" i="11" s="1"/>
  <c r="AD170" i="11" s="1"/>
  <c r="AF170" i="11" s="1"/>
  <c r="AG170" i="11" s="1"/>
  <c r="J192" i="11"/>
  <c r="U163" i="11"/>
  <c r="W163" i="11" s="1"/>
  <c r="AC163" i="11" s="1"/>
  <c r="AD163" i="11" s="1"/>
  <c r="AF163" i="11" s="1"/>
  <c r="AG163" i="11" s="1"/>
  <c r="J188" i="11"/>
  <c r="U159" i="11"/>
  <c r="W159" i="11" s="1"/>
  <c r="AC159" i="11" s="1"/>
  <c r="AD159" i="11" s="1"/>
  <c r="AF159" i="11" s="1"/>
  <c r="AG159" i="11" s="1"/>
  <c r="J179" i="11"/>
  <c r="U150" i="11"/>
  <c r="J148" i="11"/>
  <c r="J195" i="11"/>
  <c r="U166" i="11"/>
  <c r="W166" i="11" s="1"/>
  <c r="AC166" i="11" s="1"/>
  <c r="AD166" i="11" s="1"/>
  <c r="AF166" i="11" s="1"/>
  <c r="AG166" i="11" s="1"/>
  <c r="J190" i="11"/>
  <c r="U161" i="11"/>
  <c r="W161" i="11" s="1"/>
  <c r="AC161" i="11" s="1"/>
  <c r="AD161" i="11" s="1"/>
  <c r="AF161" i="11" s="1"/>
  <c r="AG161" i="11" s="1"/>
  <c r="J182" i="11"/>
  <c r="U153" i="11"/>
  <c r="W153" i="11" s="1"/>
  <c r="AC153" i="11" s="1"/>
  <c r="AD153" i="11" s="1"/>
  <c r="AF153" i="11" s="1"/>
  <c r="AG153" i="11" s="1"/>
  <c r="J186" i="11"/>
  <c r="U157" i="11"/>
  <c r="W157" i="11" s="1"/>
  <c r="AC157" i="11" s="1"/>
  <c r="AD157" i="11" s="1"/>
  <c r="AF157" i="11" s="1"/>
  <c r="AG157" i="11" s="1"/>
  <c r="J181" i="11"/>
  <c r="U152" i="11"/>
  <c r="W152" i="11" s="1"/>
  <c r="AC152" i="11" s="1"/>
  <c r="AD152" i="11" s="1"/>
  <c r="AF152" i="11" s="1"/>
  <c r="AG152" i="11" s="1"/>
  <c r="J198" i="11"/>
  <c r="U169" i="11"/>
  <c r="W169" i="11" s="1"/>
  <c r="AC169" i="11" s="1"/>
  <c r="AD169" i="11" s="1"/>
  <c r="AF169" i="11" s="1"/>
  <c r="AG169" i="11" s="1"/>
  <c r="J200" i="11"/>
  <c r="U171" i="11"/>
  <c r="W171" i="11" s="1"/>
  <c r="AC171" i="11" s="1"/>
  <c r="AD171" i="11" s="1"/>
  <c r="AF171" i="11" s="1"/>
  <c r="AG171" i="11" s="1"/>
  <c r="J191" i="11"/>
  <c r="U162" i="11"/>
  <c r="W162" i="11" s="1"/>
  <c r="AC162" i="11" s="1"/>
  <c r="AD162" i="11" s="1"/>
  <c r="AF162" i="11" s="1"/>
  <c r="AG162" i="11" s="1"/>
  <c r="T90" i="11"/>
  <c r="AA92" i="11"/>
  <c r="J189" i="11"/>
  <c r="U160" i="11"/>
  <c r="W160" i="11" s="1"/>
  <c r="AC160" i="11" s="1"/>
  <c r="AD160" i="11" s="1"/>
  <c r="AF160" i="11" s="1"/>
  <c r="AG160" i="11" s="1"/>
  <c r="K34" i="10"/>
  <c r="G34" i="10"/>
  <c r="G28" i="10" s="1"/>
  <c r="G51" i="10" s="1"/>
  <c r="G53" i="10" s="1"/>
  <c r="AD26" i="1"/>
  <c r="AF26" i="1" s="1"/>
  <c r="AG26" i="1" s="1"/>
  <c r="E33" i="10"/>
  <c r="AI3" i="1"/>
  <c r="AC63" i="1"/>
  <c r="AC61" i="1" s="1"/>
  <c r="AC32" i="1"/>
  <c r="AD6" i="11"/>
  <c r="AF6" i="11" s="1"/>
  <c r="AG6" i="11" s="1"/>
  <c r="AI6" i="11"/>
  <c r="AI3" i="11" s="1"/>
  <c r="AD92" i="1"/>
  <c r="AF92" i="1" s="1"/>
  <c r="AG92" i="1" s="1"/>
  <c r="AC90" i="1"/>
  <c r="Z61" i="1"/>
  <c r="I34" i="10" s="1"/>
  <c r="I28" i="10" s="1"/>
  <c r="I51" i="10" s="1"/>
  <c r="I53" i="10" s="1"/>
  <c r="I120" i="10" s="1"/>
  <c r="I143" i="10" s="1"/>
  <c r="AD121" i="1"/>
  <c r="AF121" i="1" s="1"/>
  <c r="AG121" i="1" s="1"/>
  <c r="E56" i="10"/>
  <c r="E57" i="10"/>
  <c r="J324" i="1"/>
  <c r="J322" i="1" s="1"/>
  <c r="J293" i="1"/>
  <c r="I208" i="1"/>
  <c r="I177" i="1"/>
  <c r="AD63" i="11"/>
  <c r="AF63" i="11" s="1"/>
  <c r="AG63" i="11" s="1"/>
  <c r="AC61" i="11"/>
  <c r="AC32" i="11"/>
  <c r="AD34" i="11"/>
  <c r="AF34" i="11" s="1"/>
  <c r="AG34" i="11" s="1"/>
  <c r="AF14" i="1"/>
  <c r="AG14" i="1" s="1"/>
  <c r="AF20" i="1"/>
  <c r="AG20" i="1" s="1"/>
  <c r="AF25" i="1"/>
  <c r="AG25" i="1" s="1"/>
  <c r="AC3" i="11"/>
  <c r="AF18" i="1"/>
  <c r="AG18" i="1" s="1"/>
  <c r="AC3" i="1"/>
  <c r="AH3" i="1"/>
  <c r="C33" i="9" s="1"/>
  <c r="AC119" i="1" l="1"/>
  <c r="AC218" i="1"/>
  <c r="AD218" i="1" s="1"/>
  <c r="AF218" i="1" s="1"/>
  <c r="AG218" i="1" s="1"/>
  <c r="V148" i="1"/>
  <c r="G120" i="10"/>
  <c r="G143" i="10" s="1"/>
  <c r="H143" i="10" s="1"/>
  <c r="E28" i="10"/>
  <c r="E51" i="10" s="1"/>
  <c r="M40" i="10"/>
  <c r="M67" i="10"/>
  <c r="M62" i="10" s="1"/>
  <c r="AA136" i="2"/>
  <c r="AA240" i="1" s="1"/>
  <c r="T240" i="1"/>
  <c r="G270" i="11"/>
  <c r="S241" i="11"/>
  <c r="W136" i="2"/>
  <c r="W240" i="1" s="1"/>
  <c r="U240" i="1"/>
  <c r="X214" i="11"/>
  <c r="Y214" i="11"/>
  <c r="V214" i="11"/>
  <c r="Z214" i="11"/>
  <c r="X229" i="11"/>
  <c r="Y229" i="11"/>
  <c r="V229" i="11"/>
  <c r="Z229" i="11"/>
  <c r="C171" i="2"/>
  <c r="H155" i="2"/>
  <c r="D155" i="2"/>
  <c r="E155" i="2"/>
  <c r="F155" i="2"/>
  <c r="G155" i="2"/>
  <c r="S155" i="2" s="1"/>
  <c r="J155" i="2"/>
  <c r="U155" i="2" s="1"/>
  <c r="I155" i="2"/>
  <c r="T155" i="2" s="1"/>
  <c r="AA99" i="2"/>
  <c r="AA179" i="1"/>
  <c r="AA177" i="1" s="1"/>
  <c r="F141" i="2"/>
  <c r="E141" i="2"/>
  <c r="C157" i="2"/>
  <c r="H141" i="2"/>
  <c r="G141" i="2"/>
  <c r="S141" i="2" s="1"/>
  <c r="D141" i="2"/>
  <c r="J141" i="2"/>
  <c r="U141" i="2" s="1"/>
  <c r="I141" i="2"/>
  <c r="T141" i="2" s="1"/>
  <c r="X222" i="11"/>
  <c r="Y222" i="11"/>
  <c r="V222" i="11"/>
  <c r="Z222" i="11"/>
  <c r="U177" i="1"/>
  <c r="X228" i="11"/>
  <c r="Y228" i="11"/>
  <c r="V228" i="11"/>
  <c r="Z228" i="11"/>
  <c r="V217" i="1"/>
  <c r="AC217" i="1" s="1"/>
  <c r="AD217" i="1" s="1"/>
  <c r="AF217" i="1" s="1"/>
  <c r="AG217" i="1" s="1"/>
  <c r="AC126" i="2"/>
  <c r="G280" i="11"/>
  <c r="S251" i="11"/>
  <c r="G286" i="11"/>
  <c r="S257" i="11"/>
  <c r="G273" i="11"/>
  <c r="S244" i="11"/>
  <c r="AC122" i="11"/>
  <c r="AD122" i="11" s="1"/>
  <c r="AF122" i="11" s="1"/>
  <c r="AG122" i="11" s="1"/>
  <c r="G272" i="11"/>
  <c r="S243" i="11"/>
  <c r="G287" i="11"/>
  <c r="S258" i="11"/>
  <c r="T208" i="1"/>
  <c r="T115" i="2"/>
  <c r="AA117" i="2"/>
  <c r="H153" i="2"/>
  <c r="C169" i="2"/>
  <c r="G153" i="2"/>
  <c r="S153" i="2" s="1"/>
  <c r="E153" i="2"/>
  <c r="F153" i="2"/>
  <c r="D153" i="2"/>
  <c r="J153" i="2"/>
  <c r="U153" i="2" s="1"/>
  <c r="I153" i="2"/>
  <c r="T153" i="2" s="1"/>
  <c r="T177" i="1"/>
  <c r="T238" i="1"/>
  <c r="AA134" i="2"/>
  <c r="AA238" i="1" s="1"/>
  <c r="Y99" i="2"/>
  <c r="V212" i="1"/>
  <c r="AC212" i="1" s="1"/>
  <c r="AD212" i="1" s="1"/>
  <c r="AF212" i="1" s="1"/>
  <c r="AG212" i="1" s="1"/>
  <c r="AC121" i="2"/>
  <c r="AA142" i="2"/>
  <c r="AA246" i="1" s="1"/>
  <c r="T246" i="1"/>
  <c r="W99" i="2"/>
  <c r="W179" i="1"/>
  <c r="W177" i="1" s="1"/>
  <c r="S243" i="1"/>
  <c r="X139" i="2"/>
  <c r="X243" i="1" s="1"/>
  <c r="Y139" i="2"/>
  <c r="Y243" i="1" s="1"/>
  <c r="V139" i="2"/>
  <c r="Z139" i="2"/>
  <c r="Z243" i="1" s="1"/>
  <c r="V187" i="1"/>
  <c r="AC187" i="1" s="1"/>
  <c r="AD187" i="1" s="1"/>
  <c r="AF187" i="1" s="1"/>
  <c r="AG187" i="1" s="1"/>
  <c r="AC109" i="2"/>
  <c r="W134" i="2"/>
  <c r="W238" i="1" s="1"/>
  <c r="U238" i="1"/>
  <c r="W142" i="2"/>
  <c r="W246" i="1" s="1"/>
  <c r="U246" i="1"/>
  <c r="S216" i="1"/>
  <c r="X125" i="2"/>
  <c r="X216" i="1" s="1"/>
  <c r="Y125" i="2"/>
  <c r="Y216" i="1" s="1"/>
  <c r="V125" i="2"/>
  <c r="Z125" i="2"/>
  <c r="Z216" i="1" s="1"/>
  <c r="G276" i="11"/>
  <c r="S247" i="11"/>
  <c r="X219" i="11"/>
  <c r="Y219" i="11"/>
  <c r="V219" i="11"/>
  <c r="Z219" i="11"/>
  <c r="X151" i="11"/>
  <c r="X148" i="11" s="1"/>
  <c r="Y151" i="11"/>
  <c r="Y148" i="11" s="1"/>
  <c r="S148" i="11"/>
  <c r="S146" i="11" s="1"/>
  <c r="V151" i="11"/>
  <c r="V148" i="11" s="1"/>
  <c r="O42" i="10" s="1"/>
  <c r="Z151" i="11"/>
  <c r="Z148" i="11" s="1"/>
  <c r="X99" i="2"/>
  <c r="X220" i="11"/>
  <c r="Y220" i="11"/>
  <c r="V220" i="11"/>
  <c r="Z220" i="11"/>
  <c r="X210" i="11"/>
  <c r="Y210" i="11"/>
  <c r="V210" i="11"/>
  <c r="Z210" i="11"/>
  <c r="V209" i="1"/>
  <c r="AC209" i="1" s="1"/>
  <c r="AD209" i="1" s="1"/>
  <c r="AF209" i="1" s="1"/>
  <c r="AG209" i="1" s="1"/>
  <c r="AC118" i="2"/>
  <c r="S240" i="1"/>
  <c r="X136" i="2"/>
  <c r="X240" i="1" s="1"/>
  <c r="Y136" i="2"/>
  <c r="Y240" i="1" s="1"/>
  <c r="V136" i="2"/>
  <c r="Z136" i="2"/>
  <c r="Z240" i="1" s="1"/>
  <c r="X226" i="11"/>
  <c r="Y226" i="11"/>
  <c r="V226" i="11"/>
  <c r="Z226" i="11"/>
  <c r="S241" i="1"/>
  <c r="X137" i="2"/>
  <c r="X241" i="1" s="1"/>
  <c r="Y137" i="2"/>
  <c r="Y241" i="1" s="1"/>
  <c r="V137" i="2"/>
  <c r="Z137" i="2"/>
  <c r="Z241" i="1" s="1"/>
  <c r="G281" i="11"/>
  <c r="S252" i="11"/>
  <c r="X218" i="11"/>
  <c r="Y218" i="11"/>
  <c r="V218" i="11"/>
  <c r="Z218" i="11"/>
  <c r="G277" i="11"/>
  <c r="S248" i="11"/>
  <c r="G209" i="11"/>
  <c r="S180" i="11"/>
  <c r="X177" i="1"/>
  <c r="G278" i="11"/>
  <c r="S249" i="11"/>
  <c r="G268" i="11"/>
  <c r="S239" i="11"/>
  <c r="S238" i="1"/>
  <c r="X134" i="2"/>
  <c r="X238" i="1" s="1"/>
  <c r="Y134" i="2"/>
  <c r="Y238" i="1" s="1"/>
  <c r="V134" i="2"/>
  <c r="Z134" i="2"/>
  <c r="Z238" i="1" s="1"/>
  <c r="C168" i="2"/>
  <c r="D152" i="2"/>
  <c r="G152" i="2"/>
  <c r="S152" i="2" s="1"/>
  <c r="H152" i="2"/>
  <c r="E152" i="2"/>
  <c r="F152" i="2"/>
  <c r="J152" i="2"/>
  <c r="U152" i="2" s="1"/>
  <c r="I152" i="2"/>
  <c r="T152" i="2" s="1"/>
  <c r="G284" i="11"/>
  <c r="S255" i="11"/>
  <c r="X212" i="11"/>
  <c r="Y212" i="11"/>
  <c r="V212" i="11"/>
  <c r="Z212" i="11"/>
  <c r="G149" i="2"/>
  <c r="S149" i="2" s="1"/>
  <c r="H149" i="2"/>
  <c r="F149" i="2"/>
  <c r="C165" i="2"/>
  <c r="D149" i="2"/>
  <c r="E149" i="2"/>
  <c r="J149" i="2"/>
  <c r="I149" i="2"/>
  <c r="X227" i="11"/>
  <c r="Y227" i="11"/>
  <c r="V227" i="11"/>
  <c r="Z227" i="11"/>
  <c r="X211" i="11"/>
  <c r="Y211" i="11"/>
  <c r="V211" i="11"/>
  <c r="Z211" i="11"/>
  <c r="AC157" i="1"/>
  <c r="AD157" i="1" s="1"/>
  <c r="AF157" i="1" s="1"/>
  <c r="AG157" i="1" s="1"/>
  <c r="Z148" i="1"/>
  <c r="AC83" i="2"/>
  <c r="AA124" i="2"/>
  <c r="AA215" i="1" s="1"/>
  <c r="T215" i="1"/>
  <c r="AC150" i="1"/>
  <c r="AA148" i="1"/>
  <c r="T133" i="2"/>
  <c r="M37" i="10"/>
  <c r="V213" i="1"/>
  <c r="AC213" i="1" s="1"/>
  <c r="AD213" i="1" s="1"/>
  <c r="AF213" i="1" s="1"/>
  <c r="AG213" i="1" s="1"/>
  <c r="AC122" i="2"/>
  <c r="U239" i="1"/>
  <c r="W135" i="2"/>
  <c r="W239" i="1" s="1"/>
  <c r="G271" i="11"/>
  <c r="S242" i="11"/>
  <c r="D158" i="2"/>
  <c r="E158" i="2"/>
  <c r="C174" i="2"/>
  <c r="H158" i="2"/>
  <c r="F158" i="2"/>
  <c r="G158" i="2"/>
  <c r="S158" i="2" s="1"/>
  <c r="J158" i="2"/>
  <c r="U158" i="2" s="1"/>
  <c r="I158" i="2"/>
  <c r="T158" i="2" s="1"/>
  <c r="U133" i="2"/>
  <c r="G269" i="11"/>
  <c r="S240" i="11"/>
  <c r="W124" i="2"/>
  <c r="W215" i="1" s="1"/>
  <c r="U215" i="1"/>
  <c r="T239" i="1"/>
  <c r="AA135" i="2"/>
  <c r="AA239" i="1" s="1"/>
  <c r="W138" i="2"/>
  <c r="W242" i="1" s="1"/>
  <c r="U242" i="1"/>
  <c r="J115" i="2"/>
  <c r="Z208" i="1"/>
  <c r="W117" i="2"/>
  <c r="U115" i="2"/>
  <c r="U208" i="1"/>
  <c r="U206" i="1" s="1"/>
  <c r="AA125" i="2"/>
  <c r="AA216" i="1" s="1"/>
  <c r="T216" i="1"/>
  <c r="V208" i="1"/>
  <c r="AC117" i="2"/>
  <c r="X221" i="11"/>
  <c r="Y221" i="11"/>
  <c r="V221" i="11"/>
  <c r="Z221" i="11"/>
  <c r="X225" i="11"/>
  <c r="Y225" i="11"/>
  <c r="V225" i="11"/>
  <c r="Z225" i="11"/>
  <c r="K36" i="10"/>
  <c r="K56" i="10" s="1"/>
  <c r="K57" i="10" s="1"/>
  <c r="K55" i="10" s="1"/>
  <c r="T242" i="1"/>
  <c r="AA138" i="2"/>
  <c r="AA242" i="1" s="1"/>
  <c r="F150" i="2"/>
  <c r="G150" i="2"/>
  <c r="S150" i="2" s="1"/>
  <c r="C166" i="2"/>
  <c r="D150" i="2"/>
  <c r="E150" i="2"/>
  <c r="H150" i="2"/>
  <c r="J150" i="2"/>
  <c r="U150" i="2" s="1"/>
  <c r="I150" i="2"/>
  <c r="T150" i="2" s="1"/>
  <c r="S246" i="1"/>
  <c r="X142" i="2"/>
  <c r="X246" i="1" s="1"/>
  <c r="Y142" i="2"/>
  <c r="Y246" i="1" s="1"/>
  <c r="V142" i="2"/>
  <c r="Z142" i="2"/>
  <c r="Z246" i="1" s="1"/>
  <c r="V186" i="1"/>
  <c r="AC186" i="1" s="1"/>
  <c r="AD186" i="1" s="1"/>
  <c r="AF186" i="1" s="1"/>
  <c r="AG186" i="1" s="1"/>
  <c r="AC108" i="2"/>
  <c r="AC120" i="2"/>
  <c r="Z211" i="1"/>
  <c r="AC211" i="1" s="1"/>
  <c r="AD211" i="1" s="1"/>
  <c r="AF211" i="1" s="1"/>
  <c r="AG211" i="1" s="1"/>
  <c r="G288" i="11"/>
  <c r="S259" i="11"/>
  <c r="S242" i="1"/>
  <c r="X138" i="2"/>
  <c r="X242" i="1" s="1"/>
  <c r="Y138" i="2"/>
  <c r="Y242" i="1" s="1"/>
  <c r="V138" i="2"/>
  <c r="Z138" i="2"/>
  <c r="Z242" i="1" s="1"/>
  <c r="X217" i="11"/>
  <c r="Y217" i="11"/>
  <c r="V217" i="11"/>
  <c r="Z217" i="11"/>
  <c r="AA139" i="2"/>
  <c r="AA243" i="1" s="1"/>
  <c r="T243" i="1"/>
  <c r="H140" i="2"/>
  <c r="C156" i="2"/>
  <c r="G140" i="2"/>
  <c r="S140" i="2" s="1"/>
  <c r="D140" i="2"/>
  <c r="E140" i="2"/>
  <c r="F140" i="2"/>
  <c r="J140" i="2"/>
  <c r="U140" i="2" s="1"/>
  <c r="I140" i="2"/>
  <c r="T140" i="2" s="1"/>
  <c r="W125" i="2"/>
  <c r="W216" i="1" s="1"/>
  <c r="U216" i="1"/>
  <c r="Y208" i="1"/>
  <c r="G279" i="11"/>
  <c r="S250" i="11"/>
  <c r="G283" i="11"/>
  <c r="S254" i="11"/>
  <c r="V210" i="1"/>
  <c r="AC210" i="1" s="1"/>
  <c r="AD210" i="1" s="1"/>
  <c r="AF210" i="1" s="1"/>
  <c r="AG210" i="1" s="1"/>
  <c r="AC119" i="2"/>
  <c r="X230" i="11"/>
  <c r="Y230" i="11"/>
  <c r="V230" i="11"/>
  <c r="Z230" i="11"/>
  <c r="G275" i="11"/>
  <c r="S246" i="11"/>
  <c r="W139" i="2"/>
  <c r="W243" i="1" s="1"/>
  <c r="U243" i="1"/>
  <c r="S215" i="1"/>
  <c r="S206" i="1" s="1"/>
  <c r="S204" i="1" s="1"/>
  <c r="X124" i="2"/>
  <c r="X215" i="1" s="1"/>
  <c r="Y124" i="2"/>
  <c r="Y215" i="1" s="1"/>
  <c r="V124" i="2"/>
  <c r="Z124" i="2"/>
  <c r="Z215" i="1" s="1"/>
  <c r="S239" i="1"/>
  <c r="X135" i="2"/>
  <c r="X239" i="1" s="1"/>
  <c r="Y135" i="2"/>
  <c r="Y239" i="1" s="1"/>
  <c r="V135" i="2"/>
  <c r="Z135" i="2"/>
  <c r="Z239" i="1" s="1"/>
  <c r="X208" i="1"/>
  <c r="AC101" i="2"/>
  <c r="Z99" i="2"/>
  <c r="X224" i="11"/>
  <c r="Y224" i="11"/>
  <c r="V224" i="11"/>
  <c r="Z224" i="11"/>
  <c r="S237" i="1"/>
  <c r="S131" i="2"/>
  <c r="S129" i="2" s="1"/>
  <c r="X133" i="2"/>
  <c r="Y133" i="2"/>
  <c r="V133" i="2"/>
  <c r="Z133" i="2"/>
  <c r="K62" i="10"/>
  <c r="G285" i="11"/>
  <c r="S256" i="11"/>
  <c r="X213" i="11"/>
  <c r="Y213" i="11"/>
  <c r="V213" i="11"/>
  <c r="Z213" i="11"/>
  <c r="X216" i="11"/>
  <c r="Y216" i="11"/>
  <c r="V216" i="11"/>
  <c r="Z216" i="11"/>
  <c r="T241" i="1"/>
  <c r="AA137" i="2"/>
  <c r="AA241" i="1" s="1"/>
  <c r="G274" i="11"/>
  <c r="S245" i="11"/>
  <c r="W137" i="2"/>
  <c r="W241" i="1" s="1"/>
  <c r="U241" i="1"/>
  <c r="F154" i="2"/>
  <c r="C170" i="2"/>
  <c r="G154" i="2"/>
  <c r="S154" i="2" s="1"/>
  <c r="H154" i="2"/>
  <c r="D154" i="2"/>
  <c r="E154" i="2"/>
  <c r="J154" i="2"/>
  <c r="U154" i="2" s="1"/>
  <c r="I154" i="2"/>
  <c r="T154" i="2" s="1"/>
  <c r="X215" i="11"/>
  <c r="Y215" i="11"/>
  <c r="V215" i="11"/>
  <c r="Z215" i="11"/>
  <c r="D151" i="2"/>
  <c r="E151" i="2"/>
  <c r="C167" i="2"/>
  <c r="F151" i="2"/>
  <c r="G151" i="2"/>
  <c r="S151" i="2" s="1"/>
  <c r="H151" i="2"/>
  <c r="J151" i="2"/>
  <c r="U151" i="2" s="1"/>
  <c r="I151" i="2"/>
  <c r="T151" i="2" s="1"/>
  <c r="V214" i="1"/>
  <c r="AC214" i="1" s="1"/>
  <c r="AD214" i="1" s="1"/>
  <c r="AF214" i="1" s="1"/>
  <c r="AG214" i="1" s="1"/>
  <c r="AC123" i="2"/>
  <c r="S115" i="2"/>
  <c r="S113" i="2" s="1"/>
  <c r="V99" i="2"/>
  <c r="Z177" i="1"/>
  <c r="G282" i="11"/>
  <c r="S253" i="11"/>
  <c r="X223" i="11"/>
  <c r="Y223" i="11"/>
  <c r="V223" i="11"/>
  <c r="Z223" i="11"/>
  <c r="U148" i="11"/>
  <c r="W150" i="11"/>
  <c r="J218" i="11"/>
  <c r="U189" i="11"/>
  <c r="W189" i="11" s="1"/>
  <c r="AC189" i="11" s="1"/>
  <c r="AD189" i="11" s="1"/>
  <c r="AF189" i="11" s="1"/>
  <c r="AG189" i="11" s="1"/>
  <c r="J208" i="11"/>
  <c r="J177" i="11"/>
  <c r="U179" i="11"/>
  <c r="J211" i="11"/>
  <c r="U182" i="11"/>
  <c r="W182" i="11" s="1"/>
  <c r="AC182" i="11" s="1"/>
  <c r="AD182" i="11" s="1"/>
  <c r="AF182" i="11" s="1"/>
  <c r="AG182" i="11" s="1"/>
  <c r="J213" i="11"/>
  <c r="U184" i="11"/>
  <c r="W184" i="11" s="1"/>
  <c r="AC184" i="11" s="1"/>
  <c r="AD184" i="11" s="1"/>
  <c r="AF184" i="11" s="1"/>
  <c r="AG184" i="11" s="1"/>
  <c r="AA90" i="11"/>
  <c r="K33" i="10" s="1"/>
  <c r="K28" i="10" s="1"/>
  <c r="AC92" i="11"/>
  <c r="J227" i="11"/>
  <c r="U198" i="11"/>
  <c r="W198" i="11" s="1"/>
  <c r="AC198" i="11" s="1"/>
  <c r="AD198" i="11" s="1"/>
  <c r="AF198" i="11" s="1"/>
  <c r="AG198" i="11" s="1"/>
  <c r="J209" i="11"/>
  <c r="U180" i="11"/>
  <c r="W180" i="11" s="1"/>
  <c r="J226" i="11"/>
  <c r="U197" i="11"/>
  <c r="W197" i="11" s="1"/>
  <c r="AC197" i="11" s="1"/>
  <c r="AD197" i="11" s="1"/>
  <c r="AF197" i="11" s="1"/>
  <c r="AG197" i="11" s="1"/>
  <c r="J216" i="11"/>
  <c r="U187" i="11"/>
  <c r="W187" i="11" s="1"/>
  <c r="AC187" i="11" s="1"/>
  <c r="AD187" i="11" s="1"/>
  <c r="AF187" i="11" s="1"/>
  <c r="AG187" i="11" s="1"/>
  <c r="J217" i="11"/>
  <c r="U188" i="11"/>
  <c r="W188" i="11" s="1"/>
  <c r="AC188" i="11" s="1"/>
  <c r="AD188" i="11" s="1"/>
  <c r="AF188" i="11" s="1"/>
  <c r="AG188" i="11" s="1"/>
  <c r="J223" i="11"/>
  <c r="U194" i="11"/>
  <c r="W194" i="11" s="1"/>
  <c r="AC194" i="11" s="1"/>
  <c r="AD194" i="11" s="1"/>
  <c r="AF194" i="11" s="1"/>
  <c r="AG194" i="11" s="1"/>
  <c r="J210" i="11"/>
  <c r="U181" i="11"/>
  <c r="W181" i="11" s="1"/>
  <c r="AC181" i="11" s="1"/>
  <c r="AD181" i="11" s="1"/>
  <c r="AF181" i="11" s="1"/>
  <c r="AG181" i="11" s="1"/>
  <c r="J219" i="11"/>
  <c r="U190" i="11"/>
  <c r="W190" i="11" s="1"/>
  <c r="AC190" i="11" s="1"/>
  <c r="AD190" i="11" s="1"/>
  <c r="AF190" i="11" s="1"/>
  <c r="AG190" i="11" s="1"/>
  <c r="J222" i="11"/>
  <c r="U193" i="11"/>
  <c r="W193" i="11" s="1"/>
  <c r="AC193" i="11" s="1"/>
  <c r="AD193" i="11" s="1"/>
  <c r="AF193" i="11" s="1"/>
  <c r="AG193" i="11" s="1"/>
  <c r="T119" i="11"/>
  <c r="AA121" i="11"/>
  <c r="AA119" i="11" s="1"/>
  <c r="M33" i="10" s="1"/>
  <c r="J221" i="11"/>
  <c r="U192" i="11"/>
  <c r="W192" i="11" s="1"/>
  <c r="AC192" i="11" s="1"/>
  <c r="AD192" i="11" s="1"/>
  <c r="AF192" i="11" s="1"/>
  <c r="AG192" i="11" s="1"/>
  <c r="J214" i="11"/>
  <c r="U185" i="11"/>
  <c r="W185" i="11" s="1"/>
  <c r="AC185" i="11" s="1"/>
  <c r="AD185" i="11" s="1"/>
  <c r="AF185" i="11" s="1"/>
  <c r="AG185" i="11" s="1"/>
  <c r="I179" i="11"/>
  <c r="I148" i="11"/>
  <c r="T150" i="11"/>
  <c r="J220" i="11"/>
  <c r="U191" i="11"/>
  <c r="W191" i="11" s="1"/>
  <c r="AC191" i="11" s="1"/>
  <c r="AD191" i="11" s="1"/>
  <c r="AF191" i="11" s="1"/>
  <c r="AG191" i="11" s="1"/>
  <c r="J215" i="11"/>
  <c r="U186" i="11"/>
  <c r="W186" i="11" s="1"/>
  <c r="AC186" i="11" s="1"/>
  <c r="AD186" i="11" s="1"/>
  <c r="AF186" i="11" s="1"/>
  <c r="AG186" i="11" s="1"/>
  <c r="J224" i="11"/>
  <c r="U195" i="11"/>
  <c r="W195" i="11" s="1"/>
  <c r="AC195" i="11" s="1"/>
  <c r="AD195" i="11" s="1"/>
  <c r="AF195" i="11" s="1"/>
  <c r="AG195" i="11" s="1"/>
  <c r="J230" i="11"/>
  <c r="U201" i="11"/>
  <c r="W201" i="11" s="1"/>
  <c r="AC201" i="11" s="1"/>
  <c r="AD201" i="11" s="1"/>
  <c r="AF201" i="11" s="1"/>
  <c r="AG201" i="11" s="1"/>
  <c r="J212" i="11"/>
  <c r="U183" i="11"/>
  <c r="W183" i="11" s="1"/>
  <c r="AC183" i="11" s="1"/>
  <c r="AD183" i="11" s="1"/>
  <c r="AF183" i="11" s="1"/>
  <c r="AG183" i="11" s="1"/>
  <c r="J229" i="11"/>
  <c r="U200" i="11"/>
  <c r="W200" i="11" s="1"/>
  <c r="AC200" i="11" s="1"/>
  <c r="AD200" i="11" s="1"/>
  <c r="AF200" i="11" s="1"/>
  <c r="AG200" i="11" s="1"/>
  <c r="J228" i="11"/>
  <c r="U199" i="11"/>
  <c r="W199" i="11" s="1"/>
  <c r="AC199" i="11" s="1"/>
  <c r="AD199" i="11" s="1"/>
  <c r="AF199" i="11" s="1"/>
  <c r="AG199" i="11" s="1"/>
  <c r="W119" i="11"/>
  <c r="M29" i="10" s="1"/>
  <c r="J225" i="11"/>
  <c r="U196" i="11"/>
  <c r="W196" i="11" s="1"/>
  <c r="AC196" i="11" s="1"/>
  <c r="AD196" i="11" s="1"/>
  <c r="AF196" i="11" s="1"/>
  <c r="AG196" i="11" s="1"/>
  <c r="AD63" i="1"/>
  <c r="AF63" i="1" s="1"/>
  <c r="AG63" i="1" s="1"/>
  <c r="I157" i="10"/>
  <c r="I158" i="10" s="1"/>
  <c r="J143" i="10"/>
  <c r="C31" i="9"/>
  <c r="E5" i="10" s="1"/>
  <c r="O33" i="9"/>
  <c r="O31" i="9" s="1"/>
  <c r="AJ3" i="11"/>
  <c r="AJ3" i="1"/>
  <c r="I237" i="1"/>
  <c r="I206" i="1"/>
  <c r="E55" i="10"/>
  <c r="E118" i="10" s="1"/>
  <c r="Z115" i="2" l="1"/>
  <c r="K51" i="10"/>
  <c r="K53" i="10" s="1"/>
  <c r="K118" i="10"/>
  <c r="G157" i="10"/>
  <c r="G158" i="10" s="1"/>
  <c r="O40" i="10"/>
  <c r="O67" i="10"/>
  <c r="W151" i="2"/>
  <c r="W268" i="1" s="1"/>
  <c r="U268" i="1"/>
  <c r="S271" i="1"/>
  <c r="X154" i="2"/>
  <c r="X271" i="1" s="1"/>
  <c r="Y154" i="2"/>
  <c r="Y271" i="1" s="1"/>
  <c r="V154" i="2"/>
  <c r="Z154" i="2"/>
  <c r="Z271" i="1" s="1"/>
  <c r="AC99" i="2"/>
  <c r="X246" i="11"/>
  <c r="Y246" i="11"/>
  <c r="V246" i="11"/>
  <c r="Z246" i="11"/>
  <c r="AA140" i="2"/>
  <c r="AA244" i="1" s="1"/>
  <c r="T244" i="1"/>
  <c r="X242" i="11"/>
  <c r="Y242" i="11"/>
  <c r="V242" i="11"/>
  <c r="Z242" i="11"/>
  <c r="V238" i="1"/>
  <c r="AC238" i="1" s="1"/>
  <c r="AD238" i="1" s="1"/>
  <c r="AF238" i="1" s="1"/>
  <c r="AG238" i="1" s="1"/>
  <c r="AC134" i="2"/>
  <c r="O37" i="10"/>
  <c r="O38" i="10"/>
  <c r="T206" i="1"/>
  <c r="S275" i="1"/>
  <c r="X158" i="2"/>
  <c r="X275" i="1" s="1"/>
  <c r="Y158" i="2"/>
  <c r="Y275" i="1" s="1"/>
  <c r="V158" i="2"/>
  <c r="Z158" i="2"/>
  <c r="Z275" i="1" s="1"/>
  <c r="U267" i="1"/>
  <c r="W150" i="2"/>
  <c r="W267" i="1" s="1"/>
  <c r="X256" i="11"/>
  <c r="Y256" i="11"/>
  <c r="V256" i="11"/>
  <c r="Z256" i="11"/>
  <c r="U244" i="1"/>
  <c r="W140" i="2"/>
  <c r="W244" i="1" s="1"/>
  <c r="G300" i="11"/>
  <c r="S271" i="11"/>
  <c r="X252" i="11"/>
  <c r="Y252" i="11"/>
  <c r="V252" i="11"/>
  <c r="Z252" i="11"/>
  <c r="X258" i="11"/>
  <c r="Y258" i="11"/>
  <c r="V258" i="11"/>
  <c r="Z258" i="11"/>
  <c r="X250" i="11"/>
  <c r="Y250" i="11"/>
  <c r="V250" i="11"/>
  <c r="Z250" i="11"/>
  <c r="G238" i="11"/>
  <c r="S209" i="11"/>
  <c r="H169" i="2"/>
  <c r="C185" i="2"/>
  <c r="E169" i="2"/>
  <c r="F169" i="2"/>
  <c r="G169" i="2"/>
  <c r="S169" i="2" s="1"/>
  <c r="D169" i="2"/>
  <c r="J169" i="2"/>
  <c r="U169" i="2" s="1"/>
  <c r="I169" i="2"/>
  <c r="T169" i="2" s="1"/>
  <c r="V242" i="1"/>
  <c r="AC138" i="2"/>
  <c r="F170" i="2"/>
  <c r="C186" i="2"/>
  <c r="H170" i="2"/>
  <c r="G170" i="2"/>
  <c r="S170" i="2" s="1"/>
  <c r="E170" i="2"/>
  <c r="D170" i="2"/>
  <c r="J170" i="2"/>
  <c r="U170" i="2" s="1"/>
  <c r="I170" i="2"/>
  <c r="T170" i="2" s="1"/>
  <c r="X115" i="2"/>
  <c r="G304" i="11"/>
  <c r="S275" i="11"/>
  <c r="S268" i="1"/>
  <c r="X151" i="2"/>
  <c r="X268" i="1" s="1"/>
  <c r="Y151" i="2"/>
  <c r="Y268" i="1" s="1"/>
  <c r="V151" i="2"/>
  <c r="Z151" i="2"/>
  <c r="Z268" i="1" s="1"/>
  <c r="G314" i="11"/>
  <c r="S285" i="11"/>
  <c r="X206" i="1"/>
  <c r="G310" i="11"/>
  <c r="S281" i="11"/>
  <c r="G316" i="11"/>
  <c r="S287" i="11"/>
  <c r="T272" i="1"/>
  <c r="AA155" i="2"/>
  <c r="AA272" i="1" s="1"/>
  <c r="V215" i="1"/>
  <c r="V206" i="1" s="1"/>
  <c r="AC124" i="2"/>
  <c r="AC115" i="2" s="1"/>
  <c r="S270" i="1"/>
  <c r="X153" i="2"/>
  <c r="X270" i="1" s="1"/>
  <c r="Y153" i="2"/>
  <c r="Y270" i="1" s="1"/>
  <c r="V153" i="2"/>
  <c r="Z153" i="2"/>
  <c r="Z270" i="1" s="1"/>
  <c r="Z206" i="1"/>
  <c r="AA151" i="2"/>
  <c r="AA268" i="1" s="1"/>
  <c r="T268" i="1"/>
  <c r="F166" i="2"/>
  <c r="C182" i="2"/>
  <c r="H166" i="2"/>
  <c r="G166" i="2"/>
  <c r="S166" i="2" s="1"/>
  <c r="E166" i="2"/>
  <c r="D166" i="2"/>
  <c r="J166" i="2"/>
  <c r="U166" i="2" s="1"/>
  <c r="I166" i="2"/>
  <c r="T166" i="2" s="1"/>
  <c r="X243" i="11"/>
  <c r="Y243" i="11"/>
  <c r="V243" i="11"/>
  <c r="Z243" i="11"/>
  <c r="W155" i="2"/>
  <c r="W272" i="1" s="1"/>
  <c r="U272" i="1"/>
  <c r="D167" i="2"/>
  <c r="H167" i="2"/>
  <c r="G167" i="2"/>
  <c r="S167" i="2" s="1"/>
  <c r="F167" i="2"/>
  <c r="E167" i="2"/>
  <c r="C183" i="2"/>
  <c r="J167" i="2"/>
  <c r="U167" i="2" s="1"/>
  <c r="I167" i="2"/>
  <c r="T167" i="2" s="1"/>
  <c r="G317" i="11"/>
  <c r="S288" i="11"/>
  <c r="S267" i="1"/>
  <c r="X150" i="2"/>
  <c r="X267" i="1" s="1"/>
  <c r="Y150" i="2"/>
  <c r="Y267" i="1" s="1"/>
  <c r="V150" i="2"/>
  <c r="Z150" i="2"/>
  <c r="Z267" i="1" s="1"/>
  <c r="V115" i="2"/>
  <c r="X240" i="11"/>
  <c r="Y240" i="11"/>
  <c r="V240" i="11"/>
  <c r="Z240" i="11"/>
  <c r="X239" i="11"/>
  <c r="Y239" i="11"/>
  <c r="V239" i="11"/>
  <c r="Z239" i="11"/>
  <c r="V241" i="1"/>
  <c r="AC241" i="1" s="1"/>
  <c r="AD241" i="1" s="1"/>
  <c r="AF241" i="1" s="1"/>
  <c r="AG241" i="1" s="1"/>
  <c r="AC137" i="2"/>
  <c r="G301" i="11"/>
  <c r="S272" i="11"/>
  <c r="S272" i="1"/>
  <c r="X155" i="2"/>
  <c r="X272" i="1" s="1"/>
  <c r="Y155" i="2"/>
  <c r="Y272" i="1" s="1"/>
  <c r="V155" i="2"/>
  <c r="Z155" i="2"/>
  <c r="Z272" i="1" s="1"/>
  <c r="X241" i="11"/>
  <c r="Y241" i="11"/>
  <c r="V241" i="11"/>
  <c r="Z241" i="11"/>
  <c r="X248" i="11"/>
  <c r="Y248" i="11"/>
  <c r="V248" i="11"/>
  <c r="Z248" i="11"/>
  <c r="S266" i="1"/>
  <c r="X149" i="2"/>
  <c r="Y149" i="2"/>
  <c r="V149" i="2"/>
  <c r="Z149" i="2"/>
  <c r="G298" i="11"/>
  <c r="S269" i="11"/>
  <c r="X255" i="11"/>
  <c r="Y255" i="11"/>
  <c r="V255" i="11"/>
  <c r="Z255" i="11"/>
  <c r="G297" i="11"/>
  <c r="S268" i="11"/>
  <c r="X247" i="11"/>
  <c r="Y247" i="11"/>
  <c r="V247" i="11"/>
  <c r="Z247" i="11"/>
  <c r="AA153" i="2"/>
  <c r="AA270" i="1" s="1"/>
  <c r="T270" i="1"/>
  <c r="G299" i="11"/>
  <c r="S270" i="11"/>
  <c r="X259" i="11"/>
  <c r="Y259" i="11"/>
  <c r="V259" i="11"/>
  <c r="Z259" i="11"/>
  <c r="X245" i="11"/>
  <c r="Y245" i="11"/>
  <c r="V245" i="11"/>
  <c r="Z245" i="11"/>
  <c r="Z237" i="1"/>
  <c r="V239" i="1"/>
  <c r="AC239" i="1" s="1"/>
  <c r="AD239" i="1" s="1"/>
  <c r="AF239" i="1" s="1"/>
  <c r="AG239" i="1" s="1"/>
  <c r="AC135" i="2"/>
  <c r="S244" i="1"/>
  <c r="X140" i="2"/>
  <c r="X244" i="1" s="1"/>
  <c r="Y140" i="2"/>
  <c r="Y244" i="1" s="1"/>
  <c r="V140" i="2"/>
  <c r="Z140" i="2"/>
  <c r="Z244" i="1" s="1"/>
  <c r="G303" i="11"/>
  <c r="S274" i="11"/>
  <c r="V237" i="1"/>
  <c r="H156" i="2"/>
  <c r="C172" i="2"/>
  <c r="G156" i="2"/>
  <c r="S156" i="2" s="1"/>
  <c r="S147" i="2" s="1"/>
  <c r="S145" i="2" s="1"/>
  <c r="E156" i="2"/>
  <c r="F156" i="2"/>
  <c r="D156" i="2"/>
  <c r="J156" i="2"/>
  <c r="U156" i="2" s="1"/>
  <c r="I156" i="2"/>
  <c r="T156" i="2" s="1"/>
  <c r="W133" i="2"/>
  <c r="U131" i="2"/>
  <c r="U237" i="1"/>
  <c r="M36" i="10"/>
  <c r="M56" i="10" s="1"/>
  <c r="G313" i="11"/>
  <c r="S284" i="11"/>
  <c r="X249" i="11"/>
  <c r="Y249" i="11"/>
  <c r="V249" i="11"/>
  <c r="Z249" i="11"/>
  <c r="G305" i="11"/>
  <c r="S276" i="11"/>
  <c r="V243" i="1"/>
  <c r="AC243" i="1" s="1"/>
  <c r="AD243" i="1" s="1"/>
  <c r="AF243" i="1" s="1"/>
  <c r="AG243" i="1" s="1"/>
  <c r="AC139" i="2"/>
  <c r="W153" i="2"/>
  <c r="W270" i="1" s="1"/>
  <c r="U270" i="1"/>
  <c r="X244" i="11"/>
  <c r="Y244" i="11"/>
  <c r="V244" i="11"/>
  <c r="Z244" i="11"/>
  <c r="AC179" i="1"/>
  <c r="J131" i="2"/>
  <c r="T237" i="1"/>
  <c r="AA133" i="2"/>
  <c r="T131" i="2"/>
  <c r="AA152" i="2"/>
  <c r="AA269" i="1" s="1"/>
  <c r="T269" i="1"/>
  <c r="G307" i="11"/>
  <c r="S278" i="11"/>
  <c r="G302" i="11"/>
  <c r="S273" i="11"/>
  <c r="V177" i="1"/>
  <c r="Q42" i="10" s="1"/>
  <c r="AD150" i="1"/>
  <c r="AF150" i="1" s="1"/>
  <c r="AG150" i="1" s="1"/>
  <c r="AC148" i="1"/>
  <c r="AA154" i="2"/>
  <c r="AA271" i="1" s="1"/>
  <c r="T271" i="1"/>
  <c r="G308" i="11"/>
  <c r="S279" i="11"/>
  <c r="W154" i="2"/>
  <c r="W271" i="1" s="1"/>
  <c r="U271" i="1"/>
  <c r="X253" i="11"/>
  <c r="Y253" i="11"/>
  <c r="V253" i="11"/>
  <c r="Z253" i="11"/>
  <c r="X237" i="1"/>
  <c r="X254" i="11"/>
  <c r="Y254" i="11"/>
  <c r="V254" i="11"/>
  <c r="Z254" i="11"/>
  <c r="AA158" i="2"/>
  <c r="AA275" i="1" s="1"/>
  <c r="T275" i="1"/>
  <c r="I131" i="2"/>
  <c r="T149" i="2"/>
  <c r="I147" i="2"/>
  <c r="W152" i="2"/>
  <c r="W269" i="1" s="1"/>
  <c r="U269" i="1"/>
  <c r="Q37" i="10"/>
  <c r="Q38" i="10"/>
  <c r="X257" i="11"/>
  <c r="Y257" i="11"/>
  <c r="V257" i="11"/>
  <c r="Z257" i="11"/>
  <c r="AA141" i="2"/>
  <c r="AA245" i="1" s="1"/>
  <c r="T245" i="1"/>
  <c r="X251" i="11"/>
  <c r="Y251" i="11"/>
  <c r="V251" i="11"/>
  <c r="Z251" i="11"/>
  <c r="V216" i="1"/>
  <c r="AC216" i="1" s="1"/>
  <c r="AD216" i="1" s="1"/>
  <c r="AF216" i="1" s="1"/>
  <c r="AG216" i="1" s="1"/>
  <c r="AC125" i="2"/>
  <c r="Y237" i="1"/>
  <c r="G311" i="11"/>
  <c r="S282" i="11"/>
  <c r="G312" i="11"/>
  <c r="S283" i="11"/>
  <c r="W115" i="2"/>
  <c r="W208" i="1"/>
  <c r="W206" i="1" s="1"/>
  <c r="W158" i="2"/>
  <c r="W275" i="1" s="1"/>
  <c r="U275" i="1"/>
  <c r="U149" i="2"/>
  <c r="X180" i="11"/>
  <c r="X177" i="11" s="1"/>
  <c r="Y180" i="11"/>
  <c r="Y177" i="11" s="1"/>
  <c r="S177" i="11"/>
  <c r="S175" i="11" s="1"/>
  <c r="V180" i="11"/>
  <c r="V177" i="11" s="1"/>
  <c r="Z180" i="11"/>
  <c r="Z177" i="11" s="1"/>
  <c r="Q34" i="10" s="1"/>
  <c r="G315" i="11"/>
  <c r="S286" i="11"/>
  <c r="U245" i="1"/>
  <c r="W141" i="2"/>
  <c r="W245" i="1" s="1"/>
  <c r="D171" i="2"/>
  <c r="C187" i="2"/>
  <c r="H171" i="2"/>
  <c r="G171" i="2"/>
  <c r="S171" i="2" s="1"/>
  <c r="F171" i="2"/>
  <c r="E171" i="2"/>
  <c r="J171" i="2"/>
  <c r="U171" i="2" s="1"/>
  <c r="I171" i="2"/>
  <c r="T171" i="2" s="1"/>
  <c r="G309" i="11"/>
  <c r="S280" i="11"/>
  <c r="S245" i="1"/>
  <c r="S235" i="1" s="1"/>
  <c r="S233" i="1" s="1"/>
  <c r="X141" i="2"/>
  <c r="X245" i="1" s="1"/>
  <c r="Y141" i="2"/>
  <c r="Y245" i="1" s="1"/>
  <c r="V141" i="2"/>
  <c r="Z141" i="2"/>
  <c r="Z245" i="1" s="1"/>
  <c r="C181" i="2"/>
  <c r="F165" i="2"/>
  <c r="D165" i="2"/>
  <c r="G165" i="2"/>
  <c r="S165" i="2" s="1"/>
  <c r="E165" i="2"/>
  <c r="H165" i="2"/>
  <c r="J165" i="2"/>
  <c r="I165" i="2"/>
  <c r="S269" i="1"/>
  <c r="X152" i="2"/>
  <c r="X269" i="1" s="1"/>
  <c r="Y152" i="2"/>
  <c r="Y269" i="1" s="1"/>
  <c r="V152" i="2"/>
  <c r="Z152" i="2"/>
  <c r="Z269" i="1" s="1"/>
  <c r="G306" i="11"/>
  <c r="S277" i="11"/>
  <c r="V246" i="1"/>
  <c r="AC246" i="1" s="1"/>
  <c r="AD246" i="1" s="1"/>
  <c r="AF246" i="1" s="1"/>
  <c r="AG246" i="1" s="1"/>
  <c r="AC142" i="2"/>
  <c r="Y206" i="1"/>
  <c r="D174" i="2"/>
  <c r="C190" i="2"/>
  <c r="H174" i="2"/>
  <c r="G174" i="2"/>
  <c r="S174" i="2" s="1"/>
  <c r="F174" i="2"/>
  <c r="E174" i="2"/>
  <c r="J174" i="2"/>
  <c r="U174" i="2" s="1"/>
  <c r="I174" i="2"/>
  <c r="T174" i="2" s="1"/>
  <c r="V240" i="1"/>
  <c r="AC240" i="1" s="1"/>
  <c r="AD240" i="1" s="1"/>
  <c r="AF240" i="1" s="1"/>
  <c r="AG240" i="1" s="1"/>
  <c r="AC136" i="2"/>
  <c r="AC151" i="11"/>
  <c r="AD151" i="11" s="1"/>
  <c r="AF151" i="11" s="1"/>
  <c r="AG151" i="11" s="1"/>
  <c r="F157" i="2"/>
  <c r="C173" i="2"/>
  <c r="G157" i="2"/>
  <c r="S157" i="2" s="1"/>
  <c r="E157" i="2"/>
  <c r="H157" i="2"/>
  <c r="D157" i="2"/>
  <c r="J157" i="2"/>
  <c r="U157" i="2" s="1"/>
  <c r="I157" i="2"/>
  <c r="T157" i="2" s="1"/>
  <c r="Y115" i="2"/>
  <c r="AC242" i="1"/>
  <c r="AD242" i="1" s="1"/>
  <c r="AF242" i="1" s="1"/>
  <c r="AG242" i="1" s="1"/>
  <c r="T267" i="1"/>
  <c r="AA150" i="2"/>
  <c r="AA267" i="1" s="1"/>
  <c r="O34" i="10"/>
  <c r="C184" i="2"/>
  <c r="G168" i="2"/>
  <c r="S168" i="2" s="1"/>
  <c r="H168" i="2"/>
  <c r="D168" i="2"/>
  <c r="E168" i="2"/>
  <c r="F168" i="2"/>
  <c r="J168" i="2"/>
  <c r="U168" i="2" s="1"/>
  <c r="I168" i="2"/>
  <c r="T168" i="2" s="1"/>
  <c r="AA115" i="2"/>
  <c r="AA208" i="1"/>
  <c r="J251" i="11"/>
  <c r="U222" i="11"/>
  <c r="W222" i="11" s="1"/>
  <c r="AC222" i="11" s="1"/>
  <c r="AD222" i="11" s="1"/>
  <c r="AF222" i="11" s="1"/>
  <c r="AG222" i="11" s="1"/>
  <c r="U177" i="11"/>
  <c r="W179" i="11"/>
  <c r="I208" i="11"/>
  <c r="T179" i="11"/>
  <c r="I177" i="11"/>
  <c r="AD92" i="11"/>
  <c r="AF92" i="11" s="1"/>
  <c r="AG92" i="11" s="1"/>
  <c r="AC90" i="11"/>
  <c r="J253" i="11"/>
  <c r="U224" i="11"/>
  <c r="W224" i="11" s="1"/>
  <c r="AC224" i="11" s="1"/>
  <c r="AD224" i="11" s="1"/>
  <c r="AF224" i="11" s="1"/>
  <c r="AG224" i="11" s="1"/>
  <c r="J256" i="11"/>
  <c r="U227" i="11"/>
  <c r="W227" i="11" s="1"/>
  <c r="AC227" i="11" s="1"/>
  <c r="AD227" i="11" s="1"/>
  <c r="AF227" i="11" s="1"/>
  <c r="AG227" i="11" s="1"/>
  <c r="J258" i="11"/>
  <c r="U229" i="11"/>
  <c r="W229" i="11" s="1"/>
  <c r="AC229" i="11" s="1"/>
  <c r="AD229" i="11" s="1"/>
  <c r="AF229" i="11" s="1"/>
  <c r="AG229" i="11" s="1"/>
  <c r="J244" i="11"/>
  <c r="U215" i="11"/>
  <c r="W215" i="11" s="1"/>
  <c r="AC215" i="11" s="1"/>
  <c r="AD215" i="11" s="1"/>
  <c r="AF215" i="11" s="1"/>
  <c r="AG215" i="11" s="1"/>
  <c r="J243" i="11"/>
  <c r="U214" i="11"/>
  <c r="W214" i="11" s="1"/>
  <c r="AC214" i="11" s="1"/>
  <c r="AD214" i="11" s="1"/>
  <c r="AF214" i="11" s="1"/>
  <c r="AG214" i="11" s="1"/>
  <c r="J248" i="11"/>
  <c r="U219" i="11"/>
  <c r="W219" i="11" s="1"/>
  <c r="AC219" i="11" s="1"/>
  <c r="AD219" i="11" s="1"/>
  <c r="AF219" i="11" s="1"/>
  <c r="AG219" i="11" s="1"/>
  <c r="J245" i="11"/>
  <c r="U216" i="11"/>
  <c r="W216" i="11" s="1"/>
  <c r="AC216" i="11" s="1"/>
  <c r="AD216" i="11" s="1"/>
  <c r="AF216" i="11" s="1"/>
  <c r="AG216" i="11" s="1"/>
  <c r="J237" i="11"/>
  <c r="J206" i="11"/>
  <c r="U208" i="11"/>
  <c r="J257" i="11"/>
  <c r="U228" i="11"/>
  <c r="W228" i="11" s="1"/>
  <c r="AC228" i="11" s="1"/>
  <c r="AD228" i="11" s="1"/>
  <c r="AF228" i="11" s="1"/>
  <c r="AG228" i="11" s="1"/>
  <c r="J246" i="11"/>
  <c r="U217" i="11"/>
  <c r="W217" i="11" s="1"/>
  <c r="AC217" i="11" s="1"/>
  <c r="AD217" i="11" s="1"/>
  <c r="AF217" i="11" s="1"/>
  <c r="AG217" i="11" s="1"/>
  <c r="J254" i="11"/>
  <c r="U225" i="11"/>
  <c r="W225" i="11" s="1"/>
  <c r="AC225" i="11" s="1"/>
  <c r="AD225" i="11" s="1"/>
  <c r="AF225" i="11" s="1"/>
  <c r="AG225" i="11" s="1"/>
  <c r="AC121" i="11"/>
  <c r="J241" i="11"/>
  <c r="U212" i="11"/>
  <c r="W212" i="11" s="1"/>
  <c r="AC212" i="11" s="1"/>
  <c r="AD212" i="11" s="1"/>
  <c r="AF212" i="11" s="1"/>
  <c r="AG212" i="11" s="1"/>
  <c r="J249" i="11"/>
  <c r="U220" i="11"/>
  <c r="W220" i="11" s="1"/>
  <c r="AC220" i="11" s="1"/>
  <c r="AD220" i="11" s="1"/>
  <c r="AF220" i="11" s="1"/>
  <c r="AG220" i="11" s="1"/>
  <c r="J250" i="11"/>
  <c r="U221" i="11"/>
  <c r="W221" i="11" s="1"/>
  <c r="AC221" i="11" s="1"/>
  <c r="AD221" i="11" s="1"/>
  <c r="AF221" i="11" s="1"/>
  <c r="AG221" i="11" s="1"/>
  <c r="J239" i="11"/>
  <c r="U210" i="11"/>
  <c r="W210" i="11" s="1"/>
  <c r="AC210" i="11" s="1"/>
  <c r="AD210" i="11" s="1"/>
  <c r="AF210" i="11" s="1"/>
  <c r="AG210" i="11" s="1"/>
  <c r="J255" i="11"/>
  <c r="U226" i="11"/>
  <c r="W226" i="11" s="1"/>
  <c r="AC226" i="11" s="1"/>
  <c r="AD226" i="11" s="1"/>
  <c r="AF226" i="11" s="1"/>
  <c r="AG226" i="11" s="1"/>
  <c r="J242" i="11"/>
  <c r="U213" i="11"/>
  <c r="W213" i="11" s="1"/>
  <c r="AC213" i="11" s="1"/>
  <c r="AD213" i="11" s="1"/>
  <c r="AF213" i="11" s="1"/>
  <c r="AG213" i="11" s="1"/>
  <c r="J247" i="11"/>
  <c r="U218" i="11"/>
  <c r="W218" i="11" s="1"/>
  <c r="AC218" i="11" s="1"/>
  <c r="AD218" i="11" s="1"/>
  <c r="AF218" i="11" s="1"/>
  <c r="AG218" i="11" s="1"/>
  <c r="M28" i="10"/>
  <c r="W148" i="11"/>
  <c r="O29" i="10" s="1"/>
  <c r="J259" i="11"/>
  <c r="U230" i="11"/>
  <c r="W230" i="11" s="1"/>
  <c r="AC230" i="11" s="1"/>
  <c r="AD230" i="11" s="1"/>
  <c r="AF230" i="11" s="1"/>
  <c r="AG230" i="11" s="1"/>
  <c r="T148" i="11"/>
  <c r="AA150" i="11"/>
  <c r="AA148" i="11" s="1"/>
  <c r="O33" i="10" s="1"/>
  <c r="J252" i="11"/>
  <c r="U223" i="11"/>
  <c r="W223" i="11" s="1"/>
  <c r="AC223" i="11" s="1"/>
  <c r="AD223" i="11" s="1"/>
  <c r="AF223" i="11" s="1"/>
  <c r="AG223" i="11" s="1"/>
  <c r="J238" i="11"/>
  <c r="U209" i="11"/>
  <c r="W209" i="11" s="1"/>
  <c r="J240" i="11"/>
  <c r="U211" i="11"/>
  <c r="W211" i="11" s="1"/>
  <c r="AC211" i="11" s="1"/>
  <c r="AD211" i="11" s="1"/>
  <c r="AF211" i="11" s="1"/>
  <c r="AG211" i="11" s="1"/>
  <c r="H3" i="9"/>
  <c r="I235" i="1"/>
  <c r="I266" i="1"/>
  <c r="AC5" i="10"/>
  <c r="AC4" i="10" s="1"/>
  <c r="AC25" i="10" s="1"/>
  <c r="C15" i="12" s="1"/>
  <c r="E4" i="10"/>
  <c r="E25" i="10" s="1"/>
  <c r="K120" i="10" l="1"/>
  <c r="K143" i="10" s="1"/>
  <c r="L143" i="10" s="1"/>
  <c r="X131" i="2"/>
  <c r="AC215" i="1"/>
  <c r="AD215" i="1" s="1"/>
  <c r="AF215" i="1" s="1"/>
  <c r="AG215" i="1" s="1"/>
  <c r="O36" i="10"/>
  <c r="O56" i="10" s="1"/>
  <c r="O57" i="10" s="1"/>
  <c r="O55" i="10" s="1"/>
  <c r="G344" i="11"/>
  <c r="S344" i="11" s="1"/>
  <c r="S315" i="11"/>
  <c r="X282" i="11"/>
  <c r="Y282" i="11"/>
  <c r="V282" i="11"/>
  <c r="Z282" i="11"/>
  <c r="X278" i="11"/>
  <c r="Y278" i="11"/>
  <c r="V278" i="11"/>
  <c r="Z278" i="11"/>
  <c r="H172" i="2"/>
  <c r="C188" i="2"/>
  <c r="E172" i="2"/>
  <c r="F172" i="2"/>
  <c r="G172" i="2"/>
  <c r="S172" i="2" s="1"/>
  <c r="D172" i="2"/>
  <c r="J172" i="2"/>
  <c r="U172" i="2" s="1"/>
  <c r="I172" i="2"/>
  <c r="T172" i="2" s="1"/>
  <c r="G346" i="11"/>
  <c r="S346" i="11" s="1"/>
  <c r="S317" i="11"/>
  <c r="AA169" i="2"/>
  <c r="AA299" i="1" s="1"/>
  <c r="T299" i="1"/>
  <c r="V245" i="1"/>
  <c r="AC245" i="1" s="1"/>
  <c r="AD245" i="1" s="1"/>
  <c r="AF245" i="1" s="1"/>
  <c r="AG245" i="1" s="1"/>
  <c r="AC141" i="2"/>
  <c r="X286" i="11"/>
  <c r="Y286" i="11"/>
  <c r="V286" i="11"/>
  <c r="Z286" i="11"/>
  <c r="T301" i="1"/>
  <c r="AA171" i="2"/>
  <c r="AA301" i="1" s="1"/>
  <c r="T266" i="1"/>
  <c r="T147" i="2"/>
  <c r="AA149" i="2"/>
  <c r="AC133" i="2"/>
  <c r="AA131" i="2"/>
  <c r="AA237" i="1"/>
  <c r="X268" i="11"/>
  <c r="Y268" i="11"/>
  <c r="V268" i="11"/>
  <c r="Z268" i="11"/>
  <c r="U299" i="1"/>
  <c r="W169" i="2"/>
  <c r="W299" i="1" s="1"/>
  <c r="W156" i="2"/>
  <c r="W273" i="1" s="1"/>
  <c r="U273" i="1"/>
  <c r="E184" i="2"/>
  <c r="G184" i="2"/>
  <c r="S184" i="2" s="1"/>
  <c r="D184" i="2"/>
  <c r="F184" i="2"/>
  <c r="H184" i="2"/>
  <c r="J184" i="2"/>
  <c r="U184" i="2" s="1"/>
  <c r="I184" i="2"/>
  <c r="T184" i="2" s="1"/>
  <c r="W174" i="2"/>
  <c r="W304" i="1" s="1"/>
  <c r="U304" i="1"/>
  <c r="G338" i="11"/>
  <c r="S338" i="11" s="1"/>
  <c r="S309" i="11"/>
  <c r="M51" i="10"/>
  <c r="M53" i="10" s="1"/>
  <c r="T165" i="2"/>
  <c r="U301" i="1"/>
  <c r="W171" i="2"/>
  <c r="W301" i="1" s="1"/>
  <c r="J147" i="2"/>
  <c r="X279" i="11"/>
  <c r="Y279" i="11"/>
  <c r="V279" i="11"/>
  <c r="Z279" i="11"/>
  <c r="T235" i="1"/>
  <c r="V131" i="2"/>
  <c r="G326" i="11"/>
  <c r="S326" i="11" s="1"/>
  <c r="S297" i="11"/>
  <c r="AA167" i="2"/>
  <c r="AA297" i="1" s="1"/>
  <c r="T297" i="1"/>
  <c r="T296" i="1"/>
  <c r="AA166" i="2"/>
  <c r="AA296" i="1" s="1"/>
  <c r="V275" i="1"/>
  <c r="AC275" i="1" s="1"/>
  <c r="AD275" i="1" s="1"/>
  <c r="AF275" i="1" s="1"/>
  <c r="AG275" i="1" s="1"/>
  <c r="AC158" i="2"/>
  <c r="X284" i="11"/>
  <c r="Y284" i="11"/>
  <c r="V284" i="11"/>
  <c r="Z284" i="11"/>
  <c r="W167" i="2"/>
  <c r="W297" i="1" s="1"/>
  <c r="U297" i="1"/>
  <c r="U296" i="1"/>
  <c r="W166" i="2"/>
  <c r="W296" i="1" s="1"/>
  <c r="X275" i="11"/>
  <c r="Y275" i="11"/>
  <c r="V275" i="11"/>
  <c r="Z275" i="11"/>
  <c r="S299" i="1"/>
  <c r="X169" i="2"/>
  <c r="X299" i="1" s="1"/>
  <c r="Y169" i="2"/>
  <c r="Y299" i="1" s="1"/>
  <c r="V169" i="2"/>
  <c r="Z169" i="2"/>
  <c r="Z299" i="1" s="1"/>
  <c r="T274" i="1"/>
  <c r="AA157" i="2"/>
  <c r="AA274" i="1" s="1"/>
  <c r="AC177" i="1"/>
  <c r="AD179" i="1"/>
  <c r="AF179" i="1" s="1"/>
  <c r="AG179" i="1" s="1"/>
  <c r="G342" i="11"/>
  <c r="S342" i="11" s="1"/>
  <c r="S313" i="11"/>
  <c r="X274" i="11"/>
  <c r="Y274" i="11"/>
  <c r="V274" i="11"/>
  <c r="Z274" i="11"/>
  <c r="D183" i="2"/>
  <c r="G183" i="2"/>
  <c r="S183" i="2" s="1"/>
  <c r="F183" i="2"/>
  <c r="E183" i="2"/>
  <c r="H183" i="2"/>
  <c r="J183" i="2"/>
  <c r="U183" i="2" s="1"/>
  <c r="I183" i="2"/>
  <c r="T183" i="2" s="1"/>
  <c r="G333" i="11"/>
  <c r="S333" i="11" s="1"/>
  <c r="S304" i="11"/>
  <c r="S304" i="1"/>
  <c r="X174" i="2"/>
  <c r="X304" i="1" s="1"/>
  <c r="Y174" i="2"/>
  <c r="Y304" i="1" s="1"/>
  <c r="V174" i="2"/>
  <c r="Z174" i="2"/>
  <c r="Z304" i="1" s="1"/>
  <c r="G337" i="11"/>
  <c r="S337" i="11" s="1"/>
  <c r="S308" i="11"/>
  <c r="D190" i="2"/>
  <c r="H190" i="2"/>
  <c r="G190" i="2"/>
  <c r="S190" i="2" s="1"/>
  <c r="F190" i="2"/>
  <c r="E190" i="2"/>
  <c r="J190" i="2"/>
  <c r="U190" i="2" s="1"/>
  <c r="I190" i="2"/>
  <c r="T190" i="2" s="1"/>
  <c r="S301" i="1"/>
  <c r="X171" i="2"/>
  <c r="X301" i="1" s="1"/>
  <c r="Y171" i="2"/>
  <c r="Y301" i="1" s="1"/>
  <c r="V171" i="2"/>
  <c r="Z171" i="2"/>
  <c r="Z301" i="1" s="1"/>
  <c r="AC244" i="1"/>
  <c r="AD244" i="1" s="1"/>
  <c r="AF244" i="1" s="1"/>
  <c r="AG244" i="1" s="1"/>
  <c r="S296" i="1"/>
  <c r="X166" i="2"/>
  <c r="X296" i="1" s="1"/>
  <c r="Y166" i="2"/>
  <c r="Y296" i="1" s="1"/>
  <c r="V166" i="2"/>
  <c r="Z166" i="2"/>
  <c r="Z296" i="1" s="1"/>
  <c r="X287" i="11"/>
  <c r="Y287" i="11"/>
  <c r="V287" i="11"/>
  <c r="Z287" i="11"/>
  <c r="AA170" i="2"/>
  <c r="AA300" i="1" s="1"/>
  <c r="T300" i="1"/>
  <c r="H185" i="2"/>
  <c r="E185" i="2"/>
  <c r="G185" i="2"/>
  <c r="S185" i="2" s="1"/>
  <c r="D185" i="2"/>
  <c r="F185" i="2"/>
  <c r="J185" i="2"/>
  <c r="U185" i="2" s="1"/>
  <c r="I185" i="2"/>
  <c r="T185" i="2" s="1"/>
  <c r="X271" i="11"/>
  <c r="Y271" i="11"/>
  <c r="V271" i="11"/>
  <c r="Z271" i="11"/>
  <c r="W168" i="2"/>
  <c r="W298" i="1" s="1"/>
  <c r="U298" i="1"/>
  <c r="S295" i="1"/>
  <c r="X165" i="2"/>
  <c r="Y165" i="2"/>
  <c r="V165" i="2"/>
  <c r="Z165" i="2"/>
  <c r="M57" i="10"/>
  <c r="G187" i="2"/>
  <c r="S187" i="2" s="1"/>
  <c r="F187" i="2"/>
  <c r="E187" i="2"/>
  <c r="D187" i="2"/>
  <c r="H187" i="2"/>
  <c r="J187" i="2"/>
  <c r="U187" i="2" s="1"/>
  <c r="I187" i="2"/>
  <c r="T187" i="2" s="1"/>
  <c r="U235" i="1"/>
  <c r="V244" i="1"/>
  <c r="V235" i="1" s="1"/>
  <c r="AC140" i="2"/>
  <c r="X269" i="11"/>
  <c r="Y269" i="11"/>
  <c r="V269" i="11"/>
  <c r="Z269" i="11"/>
  <c r="S297" i="1"/>
  <c r="X167" i="2"/>
  <c r="X297" i="1" s="1"/>
  <c r="Y167" i="2"/>
  <c r="Y297" i="1" s="1"/>
  <c r="V167" i="2"/>
  <c r="Z167" i="2"/>
  <c r="Z297" i="1" s="1"/>
  <c r="G345" i="11"/>
  <c r="S345" i="11" s="1"/>
  <c r="S316" i="11"/>
  <c r="W170" i="2"/>
  <c r="W300" i="1" s="1"/>
  <c r="U300" i="1"/>
  <c r="G329" i="11"/>
  <c r="S329" i="11" s="1"/>
  <c r="S300" i="11"/>
  <c r="V271" i="1"/>
  <c r="AC271" i="1" s="1"/>
  <c r="AD271" i="1" s="1"/>
  <c r="AF271" i="1" s="1"/>
  <c r="AG271" i="1" s="1"/>
  <c r="AC154" i="2"/>
  <c r="U165" i="2"/>
  <c r="W157" i="2"/>
  <c r="W274" i="1" s="1"/>
  <c r="U274" i="1"/>
  <c r="Q40" i="10"/>
  <c r="Q67" i="10"/>
  <c r="Q62" i="10" s="1"/>
  <c r="X270" i="11"/>
  <c r="Y270" i="11"/>
  <c r="V270" i="11"/>
  <c r="Z270" i="11"/>
  <c r="G327" i="11"/>
  <c r="S327" i="11" s="1"/>
  <c r="S298" i="11"/>
  <c r="F182" i="2"/>
  <c r="H182" i="2"/>
  <c r="G182" i="2"/>
  <c r="S182" i="2" s="1"/>
  <c r="E182" i="2"/>
  <c r="D182" i="2"/>
  <c r="J182" i="2"/>
  <c r="U182" i="2" s="1"/>
  <c r="I182" i="2"/>
  <c r="T182" i="2" s="1"/>
  <c r="X281" i="11"/>
  <c r="Y281" i="11"/>
  <c r="V281" i="11"/>
  <c r="Z281" i="11"/>
  <c r="X209" i="11"/>
  <c r="X206" i="11" s="1"/>
  <c r="S38" i="10" s="1"/>
  <c r="Y209" i="11"/>
  <c r="Y206" i="11" s="1"/>
  <c r="V209" i="11"/>
  <c r="V206" i="11" s="1"/>
  <c r="S42" i="10" s="1"/>
  <c r="S206" i="11"/>
  <c r="S204" i="11" s="1"/>
  <c r="Z209" i="11"/>
  <c r="Z206" i="11" s="1"/>
  <c r="S34" i="10" s="1"/>
  <c r="AC208" i="1"/>
  <c r="AA206" i="1"/>
  <c r="U266" i="1"/>
  <c r="W149" i="2"/>
  <c r="U147" i="2"/>
  <c r="AA168" i="2"/>
  <c r="AA298" i="1" s="1"/>
  <c r="T298" i="1"/>
  <c r="G332" i="11"/>
  <c r="S332" i="11" s="1"/>
  <c r="S303" i="11"/>
  <c r="S274" i="1"/>
  <c r="X157" i="2"/>
  <c r="X274" i="1" s="1"/>
  <c r="Y157" i="2"/>
  <c r="Y274" i="1" s="1"/>
  <c r="V157" i="2"/>
  <c r="Z157" i="2"/>
  <c r="Z274" i="1" s="1"/>
  <c r="F181" i="2"/>
  <c r="H181" i="2"/>
  <c r="D181" i="2"/>
  <c r="E181" i="2"/>
  <c r="G181" i="2"/>
  <c r="S181" i="2" s="1"/>
  <c r="J181" i="2"/>
  <c r="I181" i="2"/>
  <c r="X283" i="11"/>
  <c r="Y283" i="11"/>
  <c r="V283" i="11"/>
  <c r="Z283" i="11"/>
  <c r="X235" i="1"/>
  <c r="X273" i="11"/>
  <c r="Y273" i="11"/>
  <c r="V273" i="11"/>
  <c r="Z273" i="11"/>
  <c r="W237" i="1"/>
  <c r="W235" i="1" s="1"/>
  <c r="W131" i="2"/>
  <c r="G328" i="11"/>
  <c r="S328" i="11" s="1"/>
  <c r="S299" i="11"/>
  <c r="AC180" i="11"/>
  <c r="AD180" i="11" s="1"/>
  <c r="AF180" i="11" s="1"/>
  <c r="AG180" i="11" s="1"/>
  <c r="V272" i="1"/>
  <c r="AC272" i="1" s="1"/>
  <c r="AD272" i="1" s="1"/>
  <c r="AF272" i="1" s="1"/>
  <c r="AG272" i="1" s="1"/>
  <c r="AC155" i="2"/>
  <c r="G339" i="11"/>
  <c r="S339" i="11" s="1"/>
  <c r="S310" i="11"/>
  <c r="G267" i="11"/>
  <c r="S238" i="11"/>
  <c r="AA156" i="2"/>
  <c r="AA273" i="1" s="1"/>
  <c r="T273" i="1"/>
  <c r="Z266" i="1"/>
  <c r="S300" i="1"/>
  <c r="X170" i="2"/>
  <c r="X300" i="1" s="1"/>
  <c r="Y170" i="2"/>
  <c r="Y300" i="1" s="1"/>
  <c r="V170" i="2"/>
  <c r="V300" i="1" s="1"/>
  <c r="Z170" i="2"/>
  <c r="Y266" i="1"/>
  <c r="X285" i="11"/>
  <c r="Y285" i="11"/>
  <c r="V285" i="11"/>
  <c r="Z285" i="11"/>
  <c r="F186" i="2"/>
  <c r="H186" i="2"/>
  <c r="G186" i="2"/>
  <c r="S186" i="2" s="1"/>
  <c r="D186" i="2"/>
  <c r="E186" i="2"/>
  <c r="J186" i="2"/>
  <c r="U186" i="2" s="1"/>
  <c r="I186" i="2"/>
  <c r="T186" i="2" s="1"/>
  <c r="G341" i="11"/>
  <c r="S341" i="11" s="1"/>
  <c r="S312" i="11"/>
  <c r="G331" i="11"/>
  <c r="S331" i="11" s="1"/>
  <c r="S302" i="11"/>
  <c r="V267" i="1"/>
  <c r="AC267" i="1" s="1"/>
  <c r="AD267" i="1" s="1"/>
  <c r="AF267" i="1" s="1"/>
  <c r="AG267" i="1" s="1"/>
  <c r="AC150" i="2"/>
  <c r="X276" i="11"/>
  <c r="Y276" i="11"/>
  <c r="V276" i="11"/>
  <c r="Z276" i="11"/>
  <c r="Z131" i="2"/>
  <c r="X266" i="1"/>
  <c r="X272" i="11"/>
  <c r="Y272" i="11"/>
  <c r="V272" i="11"/>
  <c r="Z272" i="11"/>
  <c r="G343" i="11"/>
  <c r="S343" i="11" s="1"/>
  <c r="S314" i="11"/>
  <c r="F173" i="2"/>
  <c r="G173" i="2"/>
  <c r="S173" i="2" s="1"/>
  <c r="E173" i="2"/>
  <c r="C189" i="2"/>
  <c r="H173" i="2"/>
  <c r="D173" i="2"/>
  <c r="J173" i="2"/>
  <c r="U173" i="2" s="1"/>
  <c r="I173" i="2"/>
  <c r="T173" i="2" s="1"/>
  <c r="G335" i="11"/>
  <c r="S335" i="11" s="1"/>
  <c r="S306" i="11"/>
  <c r="G340" i="11"/>
  <c r="S340" i="11" s="1"/>
  <c r="S311" i="11"/>
  <c r="Q36" i="10"/>
  <c r="Q56" i="10" s="1"/>
  <c r="Q57" i="10" s="1"/>
  <c r="Q55" i="10" s="1"/>
  <c r="R55" i="10" s="1"/>
  <c r="G336" i="11"/>
  <c r="S336" i="11" s="1"/>
  <c r="S307" i="11"/>
  <c r="V269" i="1"/>
  <c r="AC269" i="1" s="1"/>
  <c r="AD269" i="1" s="1"/>
  <c r="AF269" i="1" s="1"/>
  <c r="AG269" i="1" s="1"/>
  <c r="AC152" i="2"/>
  <c r="Y131" i="2"/>
  <c r="G334" i="11"/>
  <c r="S334" i="11" s="1"/>
  <c r="S305" i="11"/>
  <c r="Z235" i="1"/>
  <c r="G330" i="11"/>
  <c r="S330" i="11" s="1"/>
  <c r="S301" i="11"/>
  <c r="V270" i="1"/>
  <c r="AC270" i="1" s="1"/>
  <c r="AD270" i="1" s="1"/>
  <c r="AF270" i="1" s="1"/>
  <c r="AG270" i="1" s="1"/>
  <c r="AC153" i="2"/>
  <c r="O62" i="10"/>
  <c r="P62" i="10" s="1"/>
  <c r="S298" i="1"/>
  <c r="X168" i="2"/>
  <c r="X298" i="1" s="1"/>
  <c r="Y168" i="2"/>
  <c r="Y298" i="1" s="1"/>
  <c r="V168" i="2"/>
  <c r="Z168" i="2"/>
  <c r="Z298" i="1" s="1"/>
  <c r="X277" i="11"/>
  <c r="Y277" i="11"/>
  <c r="V277" i="11"/>
  <c r="Z277" i="11"/>
  <c r="V266" i="1"/>
  <c r="AC149" i="2"/>
  <c r="T304" i="1"/>
  <c r="AA174" i="2"/>
  <c r="AA304" i="1" s="1"/>
  <c r="X280" i="11"/>
  <c r="Y280" i="11"/>
  <c r="V280" i="11"/>
  <c r="Z280" i="11"/>
  <c r="Y235" i="1"/>
  <c r="S273" i="1"/>
  <c r="S264" i="1" s="1"/>
  <c r="S262" i="1" s="1"/>
  <c r="X156" i="2"/>
  <c r="X273" i="1" s="1"/>
  <c r="Y156" i="2"/>
  <c r="Y273" i="1" s="1"/>
  <c r="V156" i="2"/>
  <c r="V147" i="2" s="1"/>
  <c r="Z156" i="2"/>
  <c r="Z273" i="1" s="1"/>
  <c r="X288" i="11"/>
  <c r="Y288" i="11"/>
  <c r="V288" i="11"/>
  <c r="Z288" i="11"/>
  <c r="V268" i="1"/>
  <c r="AC268" i="1" s="1"/>
  <c r="AD268" i="1" s="1"/>
  <c r="AF268" i="1" s="1"/>
  <c r="AG268" i="1" s="1"/>
  <c r="AC151" i="2"/>
  <c r="D15" i="12"/>
  <c r="E15" i="12" s="1"/>
  <c r="F15" i="12" s="1"/>
  <c r="J283" i="11"/>
  <c r="U254" i="11"/>
  <c r="W254" i="11" s="1"/>
  <c r="AC254" i="11" s="1"/>
  <c r="AD254" i="11" s="1"/>
  <c r="AF254" i="11" s="1"/>
  <c r="AG254" i="11" s="1"/>
  <c r="J266" i="11"/>
  <c r="U237" i="11"/>
  <c r="J235" i="11"/>
  <c r="J273" i="11"/>
  <c r="U244" i="11"/>
  <c r="W244" i="11" s="1"/>
  <c r="AC244" i="11" s="1"/>
  <c r="AD244" i="11" s="1"/>
  <c r="AF244" i="11" s="1"/>
  <c r="AG244" i="11" s="1"/>
  <c r="J276" i="11"/>
  <c r="U247" i="11"/>
  <c r="W247" i="11" s="1"/>
  <c r="AC247" i="11" s="1"/>
  <c r="AD247" i="11" s="1"/>
  <c r="AF247" i="11" s="1"/>
  <c r="AG247" i="11" s="1"/>
  <c r="J279" i="11"/>
  <c r="U250" i="11"/>
  <c r="W250" i="11" s="1"/>
  <c r="AC250" i="11" s="1"/>
  <c r="AD250" i="11" s="1"/>
  <c r="AF250" i="11" s="1"/>
  <c r="AG250" i="11" s="1"/>
  <c r="J274" i="11"/>
  <c r="U245" i="11"/>
  <c r="W245" i="11" s="1"/>
  <c r="AC245" i="11" s="1"/>
  <c r="AD245" i="11" s="1"/>
  <c r="AF245" i="11" s="1"/>
  <c r="AG245" i="11" s="1"/>
  <c r="J287" i="11"/>
  <c r="U258" i="11"/>
  <c r="W258" i="11" s="1"/>
  <c r="AC258" i="11" s="1"/>
  <c r="AD258" i="11" s="1"/>
  <c r="AF258" i="11" s="1"/>
  <c r="AG258" i="11" s="1"/>
  <c r="T177" i="11"/>
  <c r="AA179" i="11"/>
  <c r="AA177" i="11" s="1"/>
  <c r="Q33" i="10" s="1"/>
  <c r="J269" i="11"/>
  <c r="U240" i="11"/>
  <c r="W240" i="11" s="1"/>
  <c r="AC240" i="11" s="1"/>
  <c r="AD240" i="11" s="1"/>
  <c r="AF240" i="11" s="1"/>
  <c r="AG240" i="11" s="1"/>
  <c r="J288" i="11"/>
  <c r="U259" i="11"/>
  <c r="W259" i="11" s="1"/>
  <c r="AC259" i="11" s="1"/>
  <c r="AD259" i="11" s="1"/>
  <c r="AF259" i="11" s="1"/>
  <c r="AG259" i="11" s="1"/>
  <c r="J271" i="11"/>
  <c r="U242" i="11"/>
  <c r="W242" i="11" s="1"/>
  <c r="AC242" i="11" s="1"/>
  <c r="AD242" i="11" s="1"/>
  <c r="AF242" i="11" s="1"/>
  <c r="AG242" i="11" s="1"/>
  <c r="J278" i="11"/>
  <c r="U249" i="11"/>
  <c r="W249" i="11" s="1"/>
  <c r="AC249" i="11" s="1"/>
  <c r="AD249" i="11" s="1"/>
  <c r="AF249" i="11" s="1"/>
  <c r="AG249" i="11" s="1"/>
  <c r="J275" i="11"/>
  <c r="U246" i="11"/>
  <c r="W246" i="11" s="1"/>
  <c r="AC246" i="11" s="1"/>
  <c r="AD246" i="11" s="1"/>
  <c r="AF246" i="11" s="1"/>
  <c r="AG246" i="11" s="1"/>
  <c r="I237" i="11"/>
  <c r="T208" i="11"/>
  <c r="I206" i="11"/>
  <c r="AC150" i="11"/>
  <c r="J277" i="11"/>
  <c r="U248" i="11"/>
  <c r="W248" i="11" s="1"/>
  <c r="AC248" i="11" s="1"/>
  <c r="AD248" i="11" s="1"/>
  <c r="AF248" i="11" s="1"/>
  <c r="AG248" i="11" s="1"/>
  <c r="J285" i="11"/>
  <c r="U256" i="11"/>
  <c r="W256" i="11" s="1"/>
  <c r="AC256" i="11" s="1"/>
  <c r="AD256" i="11" s="1"/>
  <c r="AF256" i="11" s="1"/>
  <c r="AG256" i="11" s="1"/>
  <c r="W177" i="11"/>
  <c r="Q29" i="10" s="1"/>
  <c r="AC179" i="11"/>
  <c r="O28" i="10"/>
  <c r="O51" i="10" s="1"/>
  <c r="O53" i="10" s="1"/>
  <c r="J284" i="11"/>
  <c r="U255" i="11"/>
  <c r="W255" i="11" s="1"/>
  <c r="AC255" i="11" s="1"/>
  <c r="AD255" i="11" s="1"/>
  <c r="AF255" i="11" s="1"/>
  <c r="AG255" i="11" s="1"/>
  <c r="J270" i="11"/>
  <c r="U241" i="11"/>
  <c r="W241" i="11" s="1"/>
  <c r="AC241" i="11" s="1"/>
  <c r="AD241" i="11" s="1"/>
  <c r="AF241" i="11" s="1"/>
  <c r="AG241" i="11" s="1"/>
  <c r="J286" i="11"/>
  <c r="U257" i="11"/>
  <c r="W257" i="11" s="1"/>
  <c r="AC257" i="11" s="1"/>
  <c r="AD257" i="11" s="1"/>
  <c r="AF257" i="11" s="1"/>
  <c r="AG257" i="11" s="1"/>
  <c r="J267" i="11"/>
  <c r="U238" i="11"/>
  <c r="W238" i="11" s="1"/>
  <c r="AD121" i="11"/>
  <c r="AF121" i="11" s="1"/>
  <c r="AG121" i="11" s="1"/>
  <c r="AC119" i="11"/>
  <c r="U206" i="11"/>
  <c r="W208" i="11"/>
  <c r="J272" i="11"/>
  <c r="U243" i="11"/>
  <c r="W243" i="11" s="1"/>
  <c r="AC243" i="11" s="1"/>
  <c r="AD243" i="11" s="1"/>
  <c r="AF243" i="11" s="1"/>
  <c r="AG243" i="11" s="1"/>
  <c r="J282" i="11"/>
  <c r="U253" i="11"/>
  <c r="W253" i="11" s="1"/>
  <c r="AC253" i="11" s="1"/>
  <c r="AD253" i="11" s="1"/>
  <c r="AF253" i="11" s="1"/>
  <c r="AG253" i="11" s="1"/>
  <c r="J281" i="11"/>
  <c r="U252" i="11"/>
  <c r="W252" i="11" s="1"/>
  <c r="AC252" i="11" s="1"/>
  <c r="AD252" i="11" s="1"/>
  <c r="AF252" i="11" s="1"/>
  <c r="AG252" i="11" s="1"/>
  <c r="J268" i="11"/>
  <c r="U239" i="11"/>
  <c r="W239" i="11" s="1"/>
  <c r="AC239" i="11" s="1"/>
  <c r="AD239" i="11" s="1"/>
  <c r="AF239" i="11" s="1"/>
  <c r="AG239" i="11" s="1"/>
  <c r="J280" i="11"/>
  <c r="U251" i="11"/>
  <c r="W251" i="11" s="1"/>
  <c r="AC251" i="11" s="1"/>
  <c r="AD251" i="11" s="1"/>
  <c r="AF251" i="11" s="1"/>
  <c r="AG251" i="11" s="1"/>
  <c r="I295" i="1"/>
  <c r="I264" i="1"/>
  <c r="R48" i="10"/>
  <c r="L36" i="10"/>
  <c r="P71" i="10"/>
  <c r="N28" i="10"/>
  <c r="AB26" i="10"/>
  <c r="T71" i="10"/>
  <c r="R26" i="10"/>
  <c r="AB71" i="10"/>
  <c r="T102" i="10"/>
  <c r="L28" i="10"/>
  <c r="J120" i="10"/>
  <c r="F26" i="10"/>
  <c r="F36" i="10"/>
  <c r="F48" i="10"/>
  <c r="F40" i="10"/>
  <c r="V48" i="10"/>
  <c r="AD48" i="10"/>
  <c r="AD102" i="10"/>
  <c r="Z71" i="10"/>
  <c r="P55" i="10"/>
  <c r="N36" i="10"/>
  <c r="N40" i="10"/>
  <c r="N48" i="10"/>
  <c r="AD26" i="10"/>
  <c r="R71" i="10"/>
  <c r="J71" i="10"/>
  <c r="L102" i="10"/>
  <c r="H48" i="10"/>
  <c r="T26" i="10"/>
  <c r="X26" i="10"/>
  <c r="H51" i="10"/>
  <c r="F55" i="10"/>
  <c r="F28" i="10"/>
  <c r="F51" i="10"/>
  <c r="J36" i="10"/>
  <c r="P48" i="10"/>
  <c r="F71" i="10"/>
  <c r="L51" i="10"/>
  <c r="P26" i="10"/>
  <c r="J51" i="10"/>
  <c r="V71" i="10"/>
  <c r="X102" i="10"/>
  <c r="T48" i="10"/>
  <c r="V102" i="10"/>
  <c r="L48" i="10"/>
  <c r="H28" i="10"/>
  <c r="L53" i="10"/>
  <c r="H53" i="10"/>
  <c r="P40" i="10"/>
  <c r="P102" i="10"/>
  <c r="Z26" i="10"/>
  <c r="H102" i="10"/>
  <c r="N26" i="10"/>
  <c r="J55" i="10"/>
  <c r="J28" i="10"/>
  <c r="R102" i="10"/>
  <c r="P36" i="10"/>
  <c r="H62" i="10"/>
  <c r="Z48" i="10"/>
  <c r="H36" i="10"/>
  <c r="F118" i="10"/>
  <c r="H118" i="10"/>
  <c r="R40" i="10"/>
  <c r="N62" i="10"/>
  <c r="AB102" i="10"/>
  <c r="N102" i="10"/>
  <c r="X71" i="10"/>
  <c r="Z102" i="10"/>
  <c r="J40" i="10"/>
  <c r="AD71" i="10"/>
  <c r="J102" i="10"/>
  <c r="J62" i="10"/>
  <c r="L26" i="10"/>
  <c r="L40" i="10"/>
  <c r="J118" i="10"/>
  <c r="L118" i="10"/>
  <c r="AB48" i="10"/>
  <c r="J26" i="10"/>
  <c r="J48" i="10"/>
  <c r="N71" i="10"/>
  <c r="L62" i="10"/>
  <c r="R62" i="10"/>
  <c r="H40" i="10"/>
  <c r="L55" i="10"/>
  <c r="X48" i="10"/>
  <c r="F102" i="10"/>
  <c r="F62" i="10"/>
  <c r="J53" i="10"/>
  <c r="V26" i="10"/>
  <c r="H26" i="10"/>
  <c r="H55" i="10"/>
  <c r="H71" i="10"/>
  <c r="L71" i="10"/>
  <c r="E53" i="10"/>
  <c r="H120" i="10"/>
  <c r="L120" i="10"/>
  <c r="R36" i="10" l="1"/>
  <c r="K157" i="10"/>
  <c r="K158" i="10" s="1"/>
  <c r="N51" i="10"/>
  <c r="O118" i="10"/>
  <c r="P118" i="10" s="1"/>
  <c r="S40" i="10"/>
  <c r="T40" i="10" s="1"/>
  <c r="S67" i="10"/>
  <c r="X316" i="11"/>
  <c r="Y316" i="11"/>
  <c r="V316" i="11"/>
  <c r="Z316" i="11"/>
  <c r="X328" i="11"/>
  <c r="Y328" i="11"/>
  <c r="V328" i="11"/>
  <c r="Z328" i="11"/>
  <c r="X295" i="1"/>
  <c r="X293" i="1" s="1"/>
  <c r="AD208" i="1"/>
  <c r="AF208" i="1" s="1"/>
  <c r="AG208" i="1" s="1"/>
  <c r="AC206" i="1"/>
  <c r="X330" i="11"/>
  <c r="Y330" i="11"/>
  <c r="V330" i="11"/>
  <c r="Z330" i="11"/>
  <c r="S329" i="1"/>
  <c r="X186" i="2"/>
  <c r="X329" i="1" s="1"/>
  <c r="Y186" i="2"/>
  <c r="Y329" i="1" s="1"/>
  <c r="V186" i="2"/>
  <c r="Z186" i="2"/>
  <c r="Z329" i="1" s="1"/>
  <c r="X300" i="11"/>
  <c r="Y300" i="11"/>
  <c r="V300" i="11"/>
  <c r="Z300" i="11"/>
  <c r="AA190" i="2"/>
  <c r="AA333" i="1" s="1"/>
  <c r="T333" i="1"/>
  <c r="AA183" i="2"/>
  <c r="AA326" i="1" s="1"/>
  <c r="T326" i="1"/>
  <c r="S327" i="1"/>
  <c r="X184" i="2"/>
  <c r="X327" i="1" s="1"/>
  <c r="Y184" i="2"/>
  <c r="Y327" i="1" s="1"/>
  <c r="V184" i="2"/>
  <c r="Z184" i="2"/>
  <c r="Z327" i="1" s="1"/>
  <c r="T264" i="1"/>
  <c r="S302" i="1"/>
  <c r="S293" i="1" s="1"/>
  <c r="S291" i="1" s="1"/>
  <c r="X172" i="2"/>
  <c r="X302" i="1" s="1"/>
  <c r="Y172" i="2"/>
  <c r="Y302" i="1" s="1"/>
  <c r="V172" i="2"/>
  <c r="Z172" i="2"/>
  <c r="Z302" i="1" s="1"/>
  <c r="X264" i="1"/>
  <c r="X301" i="11"/>
  <c r="Y301" i="11"/>
  <c r="V301" i="11"/>
  <c r="Z301" i="11"/>
  <c r="X147" i="2"/>
  <c r="X298" i="11"/>
  <c r="Y298" i="11"/>
  <c r="V298" i="11"/>
  <c r="Z298" i="11"/>
  <c r="X329" i="11"/>
  <c r="Y329" i="11"/>
  <c r="V329" i="11"/>
  <c r="Z329" i="11"/>
  <c r="W190" i="2"/>
  <c r="W333" i="1" s="1"/>
  <c r="U333" i="1"/>
  <c r="W183" i="2"/>
  <c r="W326" i="1" s="1"/>
  <c r="U326" i="1"/>
  <c r="AA187" i="2"/>
  <c r="AA330" i="1" s="1"/>
  <c r="T330" i="1"/>
  <c r="V299" i="1"/>
  <c r="AC299" i="1" s="1"/>
  <c r="AD299" i="1" s="1"/>
  <c r="AF299" i="1" s="1"/>
  <c r="AG299" i="1" s="1"/>
  <c r="AC169" i="2"/>
  <c r="X305" i="11"/>
  <c r="Y305" i="11"/>
  <c r="V305" i="11"/>
  <c r="Z305" i="11"/>
  <c r="F189" i="2"/>
  <c r="H189" i="2"/>
  <c r="G189" i="2"/>
  <c r="S189" i="2" s="1"/>
  <c r="D189" i="2"/>
  <c r="E189" i="2"/>
  <c r="J189" i="2"/>
  <c r="U189" i="2" s="1"/>
  <c r="I189" i="2"/>
  <c r="T189" i="2" s="1"/>
  <c r="Z147" i="2"/>
  <c r="V274" i="1"/>
  <c r="AC274" i="1" s="1"/>
  <c r="AD274" i="1" s="1"/>
  <c r="AF274" i="1" s="1"/>
  <c r="AG274" i="1" s="1"/>
  <c r="AC157" i="2"/>
  <c r="X327" i="11"/>
  <c r="Y327" i="11"/>
  <c r="V327" i="11"/>
  <c r="Z327" i="11"/>
  <c r="V273" i="1"/>
  <c r="AC273" i="1" s="1"/>
  <c r="AD273" i="1" s="1"/>
  <c r="AF273" i="1" s="1"/>
  <c r="AG273" i="1" s="1"/>
  <c r="AC156" i="2"/>
  <c r="X334" i="11"/>
  <c r="Y334" i="11"/>
  <c r="V334" i="11"/>
  <c r="Z334" i="11"/>
  <c r="Z264" i="1"/>
  <c r="W187" i="2"/>
  <c r="W330" i="1" s="1"/>
  <c r="U330" i="1"/>
  <c r="H188" i="2"/>
  <c r="E188" i="2"/>
  <c r="F188" i="2"/>
  <c r="G188" i="2"/>
  <c r="S188" i="2" s="1"/>
  <c r="D188" i="2"/>
  <c r="J188" i="2"/>
  <c r="U188" i="2" s="1"/>
  <c r="I188" i="2"/>
  <c r="T188" i="2" s="1"/>
  <c r="S333" i="1"/>
  <c r="X190" i="2"/>
  <c r="X333" i="1" s="1"/>
  <c r="Y190" i="2"/>
  <c r="Y333" i="1" s="1"/>
  <c r="V190" i="2"/>
  <c r="Z190" i="2"/>
  <c r="Z333" i="1" s="1"/>
  <c r="I163" i="2"/>
  <c r="V296" i="1"/>
  <c r="AC296" i="1" s="1"/>
  <c r="AD296" i="1" s="1"/>
  <c r="AF296" i="1" s="1"/>
  <c r="AG296" i="1" s="1"/>
  <c r="AC166" i="2"/>
  <c r="P28" i="10"/>
  <c r="V298" i="1"/>
  <c r="AC298" i="1" s="1"/>
  <c r="AD298" i="1" s="1"/>
  <c r="AF298" i="1" s="1"/>
  <c r="AG298" i="1" s="1"/>
  <c r="AC168" i="2"/>
  <c r="X307" i="11"/>
  <c r="Y307" i="11"/>
  <c r="V307" i="11"/>
  <c r="Z307" i="11"/>
  <c r="X314" i="11"/>
  <c r="Y314" i="11"/>
  <c r="V314" i="11"/>
  <c r="Z314" i="11"/>
  <c r="X302" i="11"/>
  <c r="Y302" i="11"/>
  <c r="V302" i="11"/>
  <c r="Z302" i="11"/>
  <c r="G296" i="11"/>
  <c r="S267" i="11"/>
  <c r="X303" i="11"/>
  <c r="Y303" i="11"/>
  <c r="V303" i="11"/>
  <c r="Z303" i="11"/>
  <c r="Q118" i="10"/>
  <c r="R118" i="10" s="1"/>
  <c r="V297" i="1"/>
  <c r="AC297" i="1" s="1"/>
  <c r="AD297" i="1" s="1"/>
  <c r="AF297" i="1" s="1"/>
  <c r="AG297" i="1" s="1"/>
  <c r="AC167" i="2"/>
  <c r="X308" i="11"/>
  <c r="Y308" i="11"/>
  <c r="V308" i="11"/>
  <c r="Z308" i="11"/>
  <c r="X309" i="11"/>
  <c r="Y309" i="11"/>
  <c r="V309" i="11"/>
  <c r="Z309" i="11"/>
  <c r="X336" i="11"/>
  <c r="Y336" i="11"/>
  <c r="V336" i="11"/>
  <c r="Z336" i="11"/>
  <c r="X343" i="11"/>
  <c r="Y343" i="11"/>
  <c r="V343" i="11"/>
  <c r="Z343" i="11"/>
  <c r="X331" i="11"/>
  <c r="Y331" i="11"/>
  <c r="V331" i="11"/>
  <c r="Z331" i="11"/>
  <c r="Y147" i="2"/>
  <c r="X310" i="11"/>
  <c r="Y310" i="11"/>
  <c r="V310" i="11"/>
  <c r="Z310" i="11"/>
  <c r="X332" i="11"/>
  <c r="Y332" i="11"/>
  <c r="V332" i="11"/>
  <c r="Z332" i="11"/>
  <c r="S330" i="1"/>
  <c r="X187" i="2"/>
  <c r="X330" i="1" s="1"/>
  <c r="Y187" i="2"/>
  <c r="Y330" i="1" s="1"/>
  <c r="V187" i="2"/>
  <c r="Z187" i="2"/>
  <c r="Z330" i="1" s="1"/>
  <c r="AA185" i="2"/>
  <c r="AA328" i="1" s="1"/>
  <c r="T328" i="1"/>
  <c r="X337" i="11"/>
  <c r="Y337" i="11"/>
  <c r="V337" i="11"/>
  <c r="Z337" i="11"/>
  <c r="X338" i="11"/>
  <c r="Y338" i="11"/>
  <c r="V338" i="11"/>
  <c r="Z338" i="11"/>
  <c r="X238" i="11"/>
  <c r="X235" i="11" s="1"/>
  <c r="U37" i="10" s="1"/>
  <c r="Y238" i="11"/>
  <c r="Y235" i="11" s="1"/>
  <c r="V238" i="11"/>
  <c r="V235" i="11" s="1"/>
  <c r="U42" i="10" s="1"/>
  <c r="S235" i="11"/>
  <c r="S233" i="11" s="1"/>
  <c r="Z238" i="11"/>
  <c r="Z235" i="11" s="1"/>
  <c r="U34" i="10" s="1"/>
  <c r="AC209" i="11"/>
  <c r="AD209" i="11" s="1"/>
  <c r="AF209" i="11" s="1"/>
  <c r="AG209" i="11" s="1"/>
  <c r="X312" i="11"/>
  <c r="Y312" i="11"/>
  <c r="V312" i="11"/>
  <c r="Z312" i="11"/>
  <c r="Y264" i="1"/>
  <c r="X339" i="11"/>
  <c r="Y339" i="11"/>
  <c r="V339" i="11"/>
  <c r="Z339" i="11"/>
  <c r="AA182" i="2"/>
  <c r="AA325" i="1" s="1"/>
  <c r="T325" i="1"/>
  <c r="U328" i="1"/>
  <c r="W185" i="2"/>
  <c r="W328" i="1" s="1"/>
  <c r="X297" i="11"/>
  <c r="Y297" i="11"/>
  <c r="V297" i="11"/>
  <c r="Z297" i="11"/>
  <c r="X311" i="11"/>
  <c r="Y311" i="11"/>
  <c r="V311" i="11"/>
  <c r="Z311" i="11"/>
  <c r="S37" i="10"/>
  <c r="W182" i="2"/>
  <c r="W325" i="1" s="1"/>
  <c r="U325" i="1"/>
  <c r="V304" i="1"/>
  <c r="AC304" i="1" s="1"/>
  <c r="AD304" i="1" s="1"/>
  <c r="AF304" i="1" s="1"/>
  <c r="AG304" i="1" s="1"/>
  <c r="AC174" i="2"/>
  <c r="X326" i="11"/>
  <c r="Y326" i="11"/>
  <c r="V326" i="11"/>
  <c r="Z326" i="11"/>
  <c r="S303" i="1"/>
  <c r="X173" i="2"/>
  <c r="X303" i="1" s="1"/>
  <c r="Y173" i="2"/>
  <c r="Y303" i="1" s="1"/>
  <c r="V173" i="2"/>
  <c r="Z173" i="2"/>
  <c r="Z303" i="1" s="1"/>
  <c r="T163" i="2"/>
  <c r="AA165" i="2"/>
  <c r="T295" i="1"/>
  <c r="J163" i="2"/>
  <c r="AC301" i="1"/>
  <c r="AD301" i="1" s="1"/>
  <c r="AF301" i="1" s="1"/>
  <c r="AG301" i="1" s="1"/>
  <c r="AA184" i="2"/>
  <c r="AA327" i="1" s="1"/>
  <c r="T327" i="1"/>
  <c r="AC237" i="1"/>
  <c r="AA235" i="1"/>
  <c r="X317" i="11"/>
  <c r="Y317" i="11"/>
  <c r="V317" i="11"/>
  <c r="Z317" i="11"/>
  <c r="X345" i="11"/>
  <c r="Y345" i="11"/>
  <c r="V345" i="11"/>
  <c r="Z345" i="11"/>
  <c r="S326" i="1"/>
  <c r="X183" i="2"/>
  <c r="X326" i="1" s="1"/>
  <c r="Y183" i="2"/>
  <c r="Y326" i="1" s="1"/>
  <c r="V183" i="2"/>
  <c r="V326" i="1" s="1"/>
  <c r="Z183" i="2"/>
  <c r="T181" i="2"/>
  <c r="I179" i="2"/>
  <c r="M55" i="10"/>
  <c r="N53" i="10"/>
  <c r="U181" i="2"/>
  <c r="Z295" i="1"/>
  <c r="Z163" i="2"/>
  <c r="X313" i="11"/>
  <c r="Y313" i="11"/>
  <c r="V313" i="11"/>
  <c r="Z313" i="11"/>
  <c r="X306" i="11"/>
  <c r="Y306" i="11"/>
  <c r="V306" i="11"/>
  <c r="Z306" i="11"/>
  <c r="AA186" i="2"/>
  <c r="AA329" i="1" s="1"/>
  <c r="T329" i="1"/>
  <c r="AC170" i="2"/>
  <c r="Z300" i="1"/>
  <c r="AC300" i="1" s="1"/>
  <c r="AD300" i="1" s="1"/>
  <c r="AF300" i="1" s="1"/>
  <c r="AG300" i="1" s="1"/>
  <c r="S324" i="1"/>
  <c r="X181" i="2"/>
  <c r="Y181" i="2"/>
  <c r="V181" i="2"/>
  <c r="Z181" i="2"/>
  <c r="W266" i="1"/>
  <c r="W264" i="1" s="1"/>
  <c r="W147" i="2"/>
  <c r="U295" i="1"/>
  <c r="U293" i="1" s="1"/>
  <c r="W165" i="2"/>
  <c r="U163" i="2"/>
  <c r="V295" i="1"/>
  <c r="V163" i="2"/>
  <c r="S328" i="1"/>
  <c r="X185" i="2"/>
  <c r="X328" i="1" s="1"/>
  <c r="Y185" i="2"/>
  <c r="Y328" i="1" s="1"/>
  <c r="V185" i="2"/>
  <c r="Z185" i="2"/>
  <c r="Z328" i="1" s="1"/>
  <c r="V301" i="1"/>
  <c r="AC171" i="2"/>
  <c r="X342" i="11"/>
  <c r="Y342" i="11"/>
  <c r="V342" i="11"/>
  <c r="Z342" i="11"/>
  <c r="W184" i="2"/>
  <c r="W327" i="1" s="1"/>
  <c r="U327" i="1"/>
  <c r="X346" i="11"/>
  <c r="Y346" i="11"/>
  <c r="V346" i="11"/>
  <c r="Z346" i="11"/>
  <c r="X341" i="11"/>
  <c r="Y341" i="11"/>
  <c r="V341" i="11"/>
  <c r="Z341" i="11"/>
  <c r="X340" i="11"/>
  <c r="Y340" i="11"/>
  <c r="V340" i="11"/>
  <c r="Z340" i="11"/>
  <c r="P53" i="10"/>
  <c r="X335" i="11"/>
  <c r="Y335" i="11"/>
  <c r="V335" i="11"/>
  <c r="Z335" i="11"/>
  <c r="U329" i="1"/>
  <c r="W186" i="2"/>
  <c r="W329" i="1" s="1"/>
  <c r="X299" i="11"/>
  <c r="Y299" i="11"/>
  <c r="V299" i="11"/>
  <c r="Z299" i="11"/>
  <c r="U264" i="1"/>
  <c r="S325" i="1"/>
  <c r="X182" i="2"/>
  <c r="X325" i="1" s="1"/>
  <c r="Y182" i="2"/>
  <c r="Y325" i="1" s="1"/>
  <c r="V182" i="2"/>
  <c r="Z182" i="2"/>
  <c r="Z325" i="1" s="1"/>
  <c r="Y295" i="1"/>
  <c r="AC131" i="2"/>
  <c r="T302" i="1"/>
  <c r="AA172" i="2"/>
  <c r="AA302" i="1" s="1"/>
  <c r="X315" i="11"/>
  <c r="Y315" i="11"/>
  <c r="V315" i="11"/>
  <c r="Z315" i="11"/>
  <c r="X304" i="11"/>
  <c r="Y304" i="11"/>
  <c r="V304" i="11"/>
  <c r="Z304" i="11"/>
  <c r="AA266" i="1"/>
  <c r="AA147" i="2"/>
  <c r="W172" i="2"/>
  <c r="W302" i="1" s="1"/>
  <c r="U302" i="1"/>
  <c r="X344" i="11"/>
  <c r="Y344" i="11"/>
  <c r="V344" i="11"/>
  <c r="Z344" i="11"/>
  <c r="AA173" i="2"/>
  <c r="AA303" i="1" s="1"/>
  <c r="T303" i="1"/>
  <c r="W173" i="2"/>
  <c r="W303" i="1" s="1"/>
  <c r="U303" i="1"/>
  <c r="S163" i="2"/>
  <c r="S161" i="2" s="1"/>
  <c r="X333" i="11"/>
  <c r="Y333" i="11"/>
  <c r="V333" i="11"/>
  <c r="Z333" i="11"/>
  <c r="Q28" i="10"/>
  <c r="P51" i="10"/>
  <c r="J300" i="11"/>
  <c r="U271" i="11"/>
  <c r="W271" i="11" s="1"/>
  <c r="AC271" i="11" s="1"/>
  <c r="AD271" i="11" s="1"/>
  <c r="AF271" i="11" s="1"/>
  <c r="AG271" i="11" s="1"/>
  <c r="J316" i="11"/>
  <c r="U287" i="11"/>
  <c r="W287" i="11" s="1"/>
  <c r="AC287" i="11" s="1"/>
  <c r="AD287" i="11" s="1"/>
  <c r="AF287" i="11" s="1"/>
  <c r="AG287" i="11" s="1"/>
  <c r="J302" i="11"/>
  <c r="U273" i="11"/>
  <c r="W273" i="11" s="1"/>
  <c r="AC273" i="11" s="1"/>
  <c r="AD273" i="11" s="1"/>
  <c r="AF273" i="11" s="1"/>
  <c r="AG273" i="11" s="1"/>
  <c r="J309" i="11"/>
  <c r="U280" i="11"/>
  <c r="W280" i="11" s="1"/>
  <c r="AC280" i="11" s="1"/>
  <c r="AD280" i="11" s="1"/>
  <c r="AF280" i="11" s="1"/>
  <c r="AG280" i="11" s="1"/>
  <c r="J297" i="11"/>
  <c r="U268" i="11"/>
  <c r="W268" i="11" s="1"/>
  <c r="AC268" i="11" s="1"/>
  <c r="AD268" i="11" s="1"/>
  <c r="AF268" i="11" s="1"/>
  <c r="AG268" i="11" s="1"/>
  <c r="J301" i="11"/>
  <c r="U272" i="11"/>
  <c r="W272" i="11" s="1"/>
  <c r="AC272" i="11" s="1"/>
  <c r="AD272" i="11" s="1"/>
  <c r="AF272" i="11" s="1"/>
  <c r="AG272" i="11" s="1"/>
  <c r="J296" i="11"/>
  <c r="U267" i="11"/>
  <c r="W267" i="11" s="1"/>
  <c r="AC177" i="11"/>
  <c r="AD179" i="11"/>
  <c r="AF179" i="11" s="1"/>
  <c r="AG179" i="11" s="1"/>
  <c r="T206" i="11"/>
  <c r="AA208" i="11"/>
  <c r="AA206" i="11" s="1"/>
  <c r="S33" i="10" s="1"/>
  <c r="J311" i="11"/>
  <c r="U282" i="11"/>
  <c r="W282" i="11" s="1"/>
  <c r="AC282" i="11" s="1"/>
  <c r="AD282" i="11" s="1"/>
  <c r="AF282" i="11" s="1"/>
  <c r="AG282" i="11" s="1"/>
  <c r="W206" i="11"/>
  <c r="S29" i="10" s="1"/>
  <c r="I266" i="11"/>
  <c r="T237" i="11"/>
  <c r="I235" i="11"/>
  <c r="J317" i="11"/>
  <c r="U288" i="11"/>
  <c r="W288" i="11" s="1"/>
  <c r="AC288" i="11" s="1"/>
  <c r="AD288" i="11" s="1"/>
  <c r="AF288" i="11" s="1"/>
  <c r="AG288" i="11" s="1"/>
  <c r="J303" i="11"/>
  <c r="U274" i="11"/>
  <c r="W274" i="11" s="1"/>
  <c r="AC274" i="11" s="1"/>
  <c r="AD274" i="11" s="1"/>
  <c r="AF274" i="11" s="1"/>
  <c r="AG274" i="11" s="1"/>
  <c r="U235" i="11"/>
  <c r="W237" i="11"/>
  <c r="J315" i="11"/>
  <c r="U286" i="11"/>
  <c r="W286" i="11" s="1"/>
  <c r="AC286" i="11" s="1"/>
  <c r="AD286" i="11" s="1"/>
  <c r="AF286" i="11" s="1"/>
  <c r="AG286" i="11" s="1"/>
  <c r="J295" i="11"/>
  <c r="U266" i="11"/>
  <c r="J264" i="11"/>
  <c r="J314" i="11"/>
  <c r="U285" i="11"/>
  <c r="W285" i="11" s="1"/>
  <c r="AC285" i="11" s="1"/>
  <c r="AD285" i="11" s="1"/>
  <c r="AF285" i="11" s="1"/>
  <c r="AG285" i="11" s="1"/>
  <c r="J304" i="11"/>
  <c r="U275" i="11"/>
  <c r="W275" i="11" s="1"/>
  <c r="AC275" i="11" s="1"/>
  <c r="AD275" i="11" s="1"/>
  <c r="AF275" i="11" s="1"/>
  <c r="AG275" i="11" s="1"/>
  <c r="J298" i="11"/>
  <c r="U269" i="11"/>
  <c r="W269" i="11" s="1"/>
  <c r="AC269" i="11" s="1"/>
  <c r="AD269" i="11" s="1"/>
  <c r="AF269" i="11" s="1"/>
  <c r="AG269" i="11" s="1"/>
  <c r="J308" i="11"/>
  <c r="U279" i="11"/>
  <c r="W279" i="11" s="1"/>
  <c r="AC279" i="11" s="1"/>
  <c r="AD279" i="11" s="1"/>
  <c r="AF279" i="11" s="1"/>
  <c r="AG279" i="11" s="1"/>
  <c r="J313" i="11"/>
  <c r="U284" i="11"/>
  <c r="W284" i="11" s="1"/>
  <c r="AC284" i="11" s="1"/>
  <c r="AD284" i="11" s="1"/>
  <c r="AF284" i="11" s="1"/>
  <c r="AG284" i="11" s="1"/>
  <c r="J310" i="11"/>
  <c r="U281" i="11"/>
  <c r="W281" i="11" s="1"/>
  <c r="AC281" i="11" s="1"/>
  <c r="AD281" i="11" s="1"/>
  <c r="AF281" i="11" s="1"/>
  <c r="AG281" i="11" s="1"/>
  <c r="J299" i="11"/>
  <c r="U270" i="11"/>
  <c r="W270" i="11" s="1"/>
  <c r="AC270" i="11" s="1"/>
  <c r="AD270" i="11" s="1"/>
  <c r="AF270" i="11" s="1"/>
  <c r="AG270" i="11" s="1"/>
  <c r="J312" i="11"/>
  <c r="U283" i="11"/>
  <c r="W283" i="11" s="1"/>
  <c r="AC283" i="11" s="1"/>
  <c r="AD283" i="11" s="1"/>
  <c r="AF283" i="11" s="1"/>
  <c r="AG283" i="11" s="1"/>
  <c r="AD150" i="11"/>
  <c r="AF150" i="11" s="1"/>
  <c r="AG150" i="11" s="1"/>
  <c r="AC148" i="11"/>
  <c r="J306" i="11"/>
  <c r="U277" i="11"/>
  <c r="W277" i="11" s="1"/>
  <c r="AC277" i="11" s="1"/>
  <c r="AD277" i="11" s="1"/>
  <c r="AF277" i="11" s="1"/>
  <c r="AG277" i="11" s="1"/>
  <c r="J307" i="11"/>
  <c r="U278" i="11"/>
  <c r="W278" i="11" s="1"/>
  <c r="AC278" i="11" s="1"/>
  <c r="AD278" i="11" s="1"/>
  <c r="AF278" i="11" s="1"/>
  <c r="AG278" i="11" s="1"/>
  <c r="J305" i="11"/>
  <c r="U276" i="11"/>
  <c r="W276" i="11" s="1"/>
  <c r="AC276" i="11" s="1"/>
  <c r="AD276" i="11" s="1"/>
  <c r="AF276" i="11" s="1"/>
  <c r="AG276" i="11" s="1"/>
  <c r="I324" i="1"/>
  <c r="I322" i="1" s="1"/>
  <c r="I293" i="1"/>
  <c r="E120" i="10"/>
  <c r="F53" i="10"/>
  <c r="Z293" i="1" l="1"/>
  <c r="AC147" i="2"/>
  <c r="O120" i="10"/>
  <c r="U40" i="10"/>
  <c r="V40" i="10" s="1"/>
  <c r="U67" i="10"/>
  <c r="U62" i="10" s="1"/>
  <c r="T324" i="1"/>
  <c r="T179" i="2"/>
  <c r="AA181" i="2"/>
  <c r="AD237" i="1"/>
  <c r="AF237" i="1" s="1"/>
  <c r="AG237" i="1" s="1"/>
  <c r="AC235" i="1"/>
  <c r="V302" i="1"/>
  <c r="V293" i="1" s="1"/>
  <c r="AC172" i="2"/>
  <c r="X163" i="2"/>
  <c r="AA188" i="2"/>
  <c r="AA331" i="1" s="1"/>
  <c r="T331" i="1"/>
  <c r="AC329" i="1"/>
  <c r="AD329" i="1" s="1"/>
  <c r="AF329" i="1" s="1"/>
  <c r="AG329" i="1" s="1"/>
  <c r="W188" i="2"/>
  <c r="W331" i="1" s="1"/>
  <c r="U331" i="1"/>
  <c r="V329" i="1"/>
  <c r="AC186" i="2"/>
  <c r="AC266" i="1"/>
  <c r="AA264" i="1"/>
  <c r="V324" i="1"/>
  <c r="AC165" i="2"/>
  <c r="AA163" i="2"/>
  <c r="AA295" i="1"/>
  <c r="S331" i="1"/>
  <c r="X188" i="2"/>
  <c r="X331" i="1" s="1"/>
  <c r="Y188" i="2"/>
  <c r="Y331" i="1" s="1"/>
  <c r="V188" i="2"/>
  <c r="Z188" i="2"/>
  <c r="Z331" i="1" s="1"/>
  <c r="V327" i="1"/>
  <c r="AC327" i="1" s="1"/>
  <c r="AD327" i="1" s="1"/>
  <c r="AF327" i="1" s="1"/>
  <c r="AG327" i="1" s="1"/>
  <c r="AC184" i="2"/>
  <c r="V325" i="1"/>
  <c r="AC325" i="1" s="1"/>
  <c r="AD325" i="1" s="1"/>
  <c r="AF325" i="1" s="1"/>
  <c r="AG325" i="1" s="1"/>
  <c r="AC182" i="2"/>
  <c r="S36" i="10"/>
  <c r="X267" i="11"/>
  <c r="X264" i="11" s="1"/>
  <c r="W38" i="10" s="1"/>
  <c r="Y267" i="11"/>
  <c r="Y264" i="11" s="1"/>
  <c r="V267" i="11"/>
  <c r="V264" i="11" s="1"/>
  <c r="S264" i="11"/>
  <c r="S262" i="11" s="1"/>
  <c r="Z267" i="11"/>
  <c r="Z264" i="11" s="1"/>
  <c r="W34" i="10" s="1"/>
  <c r="T293" i="1"/>
  <c r="G325" i="11"/>
  <c r="S325" i="11" s="1"/>
  <c r="S296" i="11"/>
  <c r="V264" i="1"/>
  <c r="AC183" i="2"/>
  <c r="Z326" i="1"/>
  <c r="AC326" i="1" s="1"/>
  <c r="AD326" i="1" s="1"/>
  <c r="AF326" i="1" s="1"/>
  <c r="AG326" i="1" s="1"/>
  <c r="Z324" i="1"/>
  <c r="X324" i="1"/>
  <c r="S179" i="2"/>
  <c r="S177" i="2" s="1"/>
  <c r="J179" i="2"/>
  <c r="V303" i="1"/>
  <c r="AC303" i="1" s="1"/>
  <c r="AD303" i="1" s="1"/>
  <c r="AF303" i="1" s="1"/>
  <c r="AG303" i="1" s="1"/>
  <c r="AC173" i="2"/>
  <c r="W163" i="2"/>
  <c r="W295" i="1"/>
  <c r="W293" i="1" s="1"/>
  <c r="V328" i="1"/>
  <c r="AC328" i="1" s="1"/>
  <c r="AD328" i="1" s="1"/>
  <c r="AF328" i="1" s="1"/>
  <c r="AG328" i="1" s="1"/>
  <c r="AC185" i="2"/>
  <c r="S322" i="1"/>
  <c r="S320" i="1" s="1"/>
  <c r="U324" i="1"/>
  <c r="W181" i="2"/>
  <c r="AC181" i="2" s="1"/>
  <c r="U179" i="2"/>
  <c r="AA189" i="2"/>
  <c r="AA332" i="1" s="1"/>
  <c r="T332" i="1"/>
  <c r="Y163" i="2"/>
  <c r="Y293" i="1"/>
  <c r="Y324" i="1"/>
  <c r="AC238" i="11"/>
  <c r="AD238" i="11" s="1"/>
  <c r="AF238" i="11" s="1"/>
  <c r="AG238" i="11" s="1"/>
  <c r="U38" i="10"/>
  <c r="W189" i="2"/>
  <c r="W332" i="1" s="1"/>
  <c r="U332" i="1"/>
  <c r="S62" i="10"/>
  <c r="M118" i="10"/>
  <c r="N55" i="10"/>
  <c r="V330" i="1"/>
  <c r="AC330" i="1" s="1"/>
  <c r="AD330" i="1" s="1"/>
  <c r="AF330" i="1" s="1"/>
  <c r="AG330" i="1" s="1"/>
  <c r="AC187" i="2"/>
  <c r="S332" i="1"/>
  <c r="X189" i="2"/>
  <c r="X332" i="1" s="1"/>
  <c r="Y189" i="2"/>
  <c r="Y332" i="1" s="1"/>
  <c r="V189" i="2"/>
  <c r="Z189" i="2"/>
  <c r="Z332" i="1" s="1"/>
  <c r="W37" i="10"/>
  <c r="W39" i="10"/>
  <c r="V333" i="1"/>
  <c r="AC333" i="1" s="1"/>
  <c r="AD333" i="1" s="1"/>
  <c r="AF333" i="1" s="1"/>
  <c r="AG333" i="1" s="1"/>
  <c r="AC190" i="2"/>
  <c r="S28" i="10"/>
  <c r="T28" i="10" s="1"/>
  <c r="Q51" i="10"/>
  <c r="R28" i="10"/>
  <c r="AC208" i="11"/>
  <c r="AC206" i="11" s="1"/>
  <c r="U264" i="11"/>
  <c r="W266" i="11"/>
  <c r="J324" i="11"/>
  <c r="U295" i="11"/>
  <c r="J293" i="11"/>
  <c r="J346" i="11"/>
  <c r="U346" i="11" s="1"/>
  <c r="W346" i="11" s="1"/>
  <c r="AC346" i="11" s="1"/>
  <c r="AD346" i="11" s="1"/>
  <c r="AF346" i="11" s="1"/>
  <c r="AG346" i="11" s="1"/>
  <c r="U317" i="11"/>
  <c r="W317" i="11" s="1"/>
  <c r="AC317" i="11" s="1"/>
  <c r="AD317" i="11" s="1"/>
  <c r="AF317" i="11" s="1"/>
  <c r="AG317" i="11" s="1"/>
  <c r="J328" i="11"/>
  <c r="U328" i="11" s="1"/>
  <c r="W328" i="11" s="1"/>
  <c r="AC328" i="11" s="1"/>
  <c r="AD328" i="11" s="1"/>
  <c r="AF328" i="11" s="1"/>
  <c r="AG328" i="11" s="1"/>
  <c r="U299" i="11"/>
  <c r="W299" i="11" s="1"/>
  <c r="AC299" i="11" s="1"/>
  <c r="AD299" i="11" s="1"/>
  <c r="AF299" i="11" s="1"/>
  <c r="AG299" i="11" s="1"/>
  <c r="J327" i="11"/>
  <c r="U327" i="11" s="1"/>
  <c r="W327" i="11" s="1"/>
  <c r="AC327" i="11" s="1"/>
  <c r="AD327" i="11" s="1"/>
  <c r="AF327" i="11" s="1"/>
  <c r="AG327" i="11" s="1"/>
  <c r="U298" i="11"/>
  <c r="W298" i="11" s="1"/>
  <c r="AC298" i="11" s="1"/>
  <c r="AD298" i="11" s="1"/>
  <c r="AF298" i="11" s="1"/>
  <c r="AG298" i="11" s="1"/>
  <c r="J340" i="11"/>
  <c r="U340" i="11" s="1"/>
  <c r="W340" i="11" s="1"/>
  <c r="AC340" i="11" s="1"/>
  <c r="AD340" i="11" s="1"/>
  <c r="AF340" i="11" s="1"/>
  <c r="AG340" i="11" s="1"/>
  <c r="U311" i="11"/>
  <c r="W311" i="11" s="1"/>
  <c r="AC311" i="11" s="1"/>
  <c r="AD311" i="11" s="1"/>
  <c r="AF311" i="11" s="1"/>
  <c r="AG311" i="11" s="1"/>
  <c r="J330" i="11"/>
  <c r="U330" i="11" s="1"/>
  <c r="W330" i="11" s="1"/>
  <c r="AC330" i="11" s="1"/>
  <c r="AD330" i="11" s="1"/>
  <c r="AF330" i="11" s="1"/>
  <c r="AG330" i="11" s="1"/>
  <c r="U301" i="11"/>
  <c r="W301" i="11" s="1"/>
  <c r="AC301" i="11" s="1"/>
  <c r="AD301" i="11" s="1"/>
  <c r="AF301" i="11" s="1"/>
  <c r="AG301" i="11" s="1"/>
  <c r="J345" i="11"/>
  <c r="U345" i="11" s="1"/>
  <c r="W345" i="11" s="1"/>
  <c r="AC345" i="11" s="1"/>
  <c r="AD345" i="11" s="1"/>
  <c r="AF345" i="11" s="1"/>
  <c r="AG345" i="11" s="1"/>
  <c r="U316" i="11"/>
  <c r="W316" i="11" s="1"/>
  <c r="AC316" i="11" s="1"/>
  <c r="AD316" i="11" s="1"/>
  <c r="AF316" i="11" s="1"/>
  <c r="AG316" i="11" s="1"/>
  <c r="J336" i="11"/>
  <c r="U336" i="11" s="1"/>
  <c r="W336" i="11" s="1"/>
  <c r="AC336" i="11" s="1"/>
  <c r="AD336" i="11" s="1"/>
  <c r="AF336" i="11" s="1"/>
  <c r="AG336" i="11" s="1"/>
  <c r="U307" i="11"/>
  <c r="W307" i="11" s="1"/>
  <c r="AC307" i="11" s="1"/>
  <c r="AD307" i="11" s="1"/>
  <c r="AF307" i="11" s="1"/>
  <c r="AG307" i="11" s="1"/>
  <c r="J335" i="11"/>
  <c r="U335" i="11" s="1"/>
  <c r="W335" i="11" s="1"/>
  <c r="AC335" i="11" s="1"/>
  <c r="AD335" i="11" s="1"/>
  <c r="AF335" i="11" s="1"/>
  <c r="AG335" i="11" s="1"/>
  <c r="U306" i="11"/>
  <c r="W306" i="11" s="1"/>
  <c r="AC306" i="11" s="1"/>
  <c r="AD306" i="11" s="1"/>
  <c r="AF306" i="11" s="1"/>
  <c r="AG306" i="11" s="1"/>
  <c r="J337" i="11"/>
  <c r="U337" i="11" s="1"/>
  <c r="W337" i="11" s="1"/>
  <c r="AC337" i="11" s="1"/>
  <c r="AD337" i="11" s="1"/>
  <c r="AF337" i="11" s="1"/>
  <c r="AG337" i="11" s="1"/>
  <c r="U308" i="11"/>
  <c r="W308" i="11" s="1"/>
  <c r="AC308" i="11" s="1"/>
  <c r="AD308" i="11" s="1"/>
  <c r="AF308" i="11" s="1"/>
  <c r="AG308" i="11" s="1"/>
  <c r="J325" i="11"/>
  <c r="U325" i="11" s="1"/>
  <c r="W325" i="11" s="1"/>
  <c r="U296" i="11"/>
  <c r="W296" i="11" s="1"/>
  <c r="J344" i="11"/>
  <c r="U344" i="11" s="1"/>
  <c r="W344" i="11" s="1"/>
  <c r="AC344" i="11" s="1"/>
  <c r="AD344" i="11" s="1"/>
  <c r="AF344" i="11" s="1"/>
  <c r="AG344" i="11" s="1"/>
  <c r="U315" i="11"/>
  <c r="W315" i="11" s="1"/>
  <c r="AC315" i="11" s="1"/>
  <c r="AD315" i="11" s="1"/>
  <c r="AF315" i="11" s="1"/>
  <c r="AG315" i="11" s="1"/>
  <c r="T235" i="11"/>
  <c r="AA237" i="11"/>
  <c r="AA235" i="11" s="1"/>
  <c r="U33" i="10" s="1"/>
  <c r="J339" i="11"/>
  <c r="U339" i="11" s="1"/>
  <c r="W339" i="11" s="1"/>
  <c r="AC339" i="11" s="1"/>
  <c r="AD339" i="11" s="1"/>
  <c r="AF339" i="11" s="1"/>
  <c r="AG339" i="11" s="1"/>
  <c r="U310" i="11"/>
  <c r="W310" i="11" s="1"/>
  <c r="AC310" i="11" s="1"/>
  <c r="AD310" i="11" s="1"/>
  <c r="AF310" i="11" s="1"/>
  <c r="AG310" i="11" s="1"/>
  <c r="J333" i="11"/>
  <c r="U333" i="11" s="1"/>
  <c r="W333" i="11" s="1"/>
  <c r="AC333" i="11" s="1"/>
  <c r="AD333" i="11" s="1"/>
  <c r="AF333" i="11" s="1"/>
  <c r="AG333" i="11" s="1"/>
  <c r="U304" i="11"/>
  <c r="W304" i="11" s="1"/>
  <c r="AC304" i="11" s="1"/>
  <c r="AD304" i="11" s="1"/>
  <c r="AF304" i="11" s="1"/>
  <c r="AG304" i="11" s="1"/>
  <c r="W235" i="11"/>
  <c r="U29" i="10" s="1"/>
  <c r="I295" i="11"/>
  <c r="T266" i="11"/>
  <c r="I264" i="11"/>
  <c r="J326" i="11"/>
  <c r="U326" i="11" s="1"/>
  <c r="W326" i="11" s="1"/>
  <c r="AC326" i="11" s="1"/>
  <c r="AD326" i="11" s="1"/>
  <c r="AF326" i="11" s="1"/>
  <c r="AG326" i="11" s="1"/>
  <c r="U297" i="11"/>
  <c r="W297" i="11" s="1"/>
  <c r="AC297" i="11" s="1"/>
  <c r="AD297" i="11" s="1"/>
  <c r="AF297" i="11" s="1"/>
  <c r="AG297" i="11" s="1"/>
  <c r="J329" i="11"/>
  <c r="U329" i="11" s="1"/>
  <c r="W329" i="11" s="1"/>
  <c r="AC329" i="11" s="1"/>
  <c r="AD329" i="11" s="1"/>
  <c r="AF329" i="11" s="1"/>
  <c r="AG329" i="11" s="1"/>
  <c r="U300" i="11"/>
  <c r="W300" i="11" s="1"/>
  <c r="AC300" i="11" s="1"/>
  <c r="AD300" i="11" s="1"/>
  <c r="AF300" i="11" s="1"/>
  <c r="AG300" i="11" s="1"/>
  <c r="J341" i="11"/>
  <c r="U341" i="11" s="1"/>
  <c r="W341" i="11" s="1"/>
  <c r="AC341" i="11" s="1"/>
  <c r="AD341" i="11" s="1"/>
  <c r="AF341" i="11" s="1"/>
  <c r="AG341" i="11" s="1"/>
  <c r="U312" i="11"/>
  <c r="W312" i="11" s="1"/>
  <c r="AC312" i="11" s="1"/>
  <c r="AD312" i="11" s="1"/>
  <c r="AF312" i="11" s="1"/>
  <c r="AG312" i="11" s="1"/>
  <c r="J331" i="11"/>
  <c r="U331" i="11" s="1"/>
  <c r="W331" i="11" s="1"/>
  <c r="AC331" i="11" s="1"/>
  <c r="AD331" i="11" s="1"/>
  <c r="AF331" i="11" s="1"/>
  <c r="AG331" i="11" s="1"/>
  <c r="U302" i="11"/>
  <c r="W302" i="11" s="1"/>
  <c r="AC302" i="11" s="1"/>
  <c r="AD302" i="11" s="1"/>
  <c r="AF302" i="11" s="1"/>
  <c r="AG302" i="11" s="1"/>
  <c r="J342" i="11"/>
  <c r="U342" i="11" s="1"/>
  <c r="W342" i="11" s="1"/>
  <c r="AC342" i="11" s="1"/>
  <c r="AD342" i="11" s="1"/>
  <c r="AF342" i="11" s="1"/>
  <c r="AG342" i="11" s="1"/>
  <c r="U313" i="11"/>
  <c r="W313" i="11" s="1"/>
  <c r="AC313" i="11" s="1"/>
  <c r="AD313" i="11" s="1"/>
  <c r="AF313" i="11" s="1"/>
  <c r="AG313" i="11" s="1"/>
  <c r="J343" i="11"/>
  <c r="U343" i="11" s="1"/>
  <c r="W343" i="11" s="1"/>
  <c r="AC343" i="11" s="1"/>
  <c r="AD343" i="11" s="1"/>
  <c r="AF343" i="11" s="1"/>
  <c r="AG343" i="11" s="1"/>
  <c r="U314" i="11"/>
  <c r="W314" i="11" s="1"/>
  <c r="AC314" i="11" s="1"/>
  <c r="AD314" i="11" s="1"/>
  <c r="AF314" i="11" s="1"/>
  <c r="AG314" i="11" s="1"/>
  <c r="J338" i="11"/>
  <c r="U338" i="11" s="1"/>
  <c r="W338" i="11" s="1"/>
  <c r="AC338" i="11" s="1"/>
  <c r="AD338" i="11" s="1"/>
  <c r="AF338" i="11" s="1"/>
  <c r="AG338" i="11" s="1"/>
  <c r="U309" i="11"/>
  <c r="W309" i="11" s="1"/>
  <c r="AC309" i="11" s="1"/>
  <c r="AD309" i="11" s="1"/>
  <c r="AF309" i="11" s="1"/>
  <c r="AG309" i="11" s="1"/>
  <c r="J334" i="11"/>
  <c r="U334" i="11" s="1"/>
  <c r="W334" i="11" s="1"/>
  <c r="AC334" i="11" s="1"/>
  <c r="AD334" i="11" s="1"/>
  <c r="AF334" i="11" s="1"/>
  <c r="AG334" i="11" s="1"/>
  <c r="U305" i="11"/>
  <c r="W305" i="11" s="1"/>
  <c r="AC305" i="11" s="1"/>
  <c r="AD305" i="11" s="1"/>
  <c r="AF305" i="11" s="1"/>
  <c r="AG305" i="11" s="1"/>
  <c r="J332" i="11"/>
  <c r="U332" i="11" s="1"/>
  <c r="W332" i="11" s="1"/>
  <c r="AC332" i="11" s="1"/>
  <c r="AD332" i="11" s="1"/>
  <c r="AF332" i="11" s="1"/>
  <c r="AG332" i="11" s="1"/>
  <c r="U303" i="11"/>
  <c r="W303" i="11" s="1"/>
  <c r="AC303" i="11" s="1"/>
  <c r="AD303" i="11" s="1"/>
  <c r="AF303" i="11" s="1"/>
  <c r="AG303" i="11" s="1"/>
  <c r="E143" i="10"/>
  <c r="F120" i="10"/>
  <c r="T322" i="1" l="1"/>
  <c r="Y322" i="1"/>
  <c r="AC302" i="1"/>
  <c r="AD302" i="1" s="1"/>
  <c r="AF302" i="1" s="1"/>
  <c r="AG302" i="1" s="1"/>
  <c r="S51" i="10"/>
  <c r="T51" i="10" s="1"/>
  <c r="O143" i="10"/>
  <c r="P120" i="10"/>
  <c r="AC267" i="11"/>
  <c r="AD267" i="11" s="1"/>
  <c r="AF267" i="11" s="1"/>
  <c r="AG267" i="11" s="1"/>
  <c r="V331" i="1"/>
  <c r="AC331" i="1" s="1"/>
  <c r="AD331" i="1" s="1"/>
  <c r="AF331" i="1" s="1"/>
  <c r="AG331" i="1" s="1"/>
  <c r="AC188" i="2"/>
  <c r="Y179" i="2"/>
  <c r="X179" i="2"/>
  <c r="AC295" i="1"/>
  <c r="AA293" i="1"/>
  <c r="X322" i="1"/>
  <c r="V332" i="1"/>
  <c r="AC332" i="1" s="1"/>
  <c r="AD332" i="1" s="1"/>
  <c r="AF332" i="1" s="1"/>
  <c r="AG332" i="1" s="1"/>
  <c r="AC189" i="2"/>
  <c r="Z179" i="2"/>
  <c r="AC163" i="2"/>
  <c r="AD208" i="11"/>
  <c r="AF208" i="11" s="1"/>
  <c r="AG208" i="11" s="1"/>
  <c r="Z322" i="1"/>
  <c r="S56" i="10"/>
  <c r="T36" i="10"/>
  <c r="W179" i="2"/>
  <c r="W324" i="1"/>
  <c r="W322" i="1" s="1"/>
  <c r="AA179" i="2"/>
  <c r="AA324" i="1"/>
  <c r="N118" i="10"/>
  <c r="M120" i="10"/>
  <c r="U322" i="1"/>
  <c r="V179" i="2"/>
  <c r="W42" i="10"/>
  <c r="AD266" i="1"/>
  <c r="AF266" i="1" s="1"/>
  <c r="AG266" i="1" s="1"/>
  <c r="AC264" i="1"/>
  <c r="T62" i="10"/>
  <c r="X296" i="11"/>
  <c r="X293" i="11" s="1"/>
  <c r="Y296" i="11"/>
  <c r="Y293" i="11" s="1"/>
  <c r="V296" i="11"/>
  <c r="V293" i="11" s="1"/>
  <c r="Y42" i="10" s="1"/>
  <c r="Z296" i="11"/>
  <c r="Z293" i="11" s="1"/>
  <c r="Y34" i="10" s="1"/>
  <c r="S293" i="11"/>
  <c r="S291" i="11" s="1"/>
  <c r="V62" i="10"/>
  <c r="X325" i="11"/>
  <c r="X322" i="11" s="1"/>
  <c r="Y325" i="11"/>
  <c r="Y322" i="11" s="1"/>
  <c r="V325" i="11"/>
  <c r="V322" i="11" s="1"/>
  <c r="S322" i="11"/>
  <c r="S320" i="11" s="1"/>
  <c r="Z325" i="11"/>
  <c r="Z322" i="11" s="1"/>
  <c r="W36" i="10"/>
  <c r="U36" i="10"/>
  <c r="Q53" i="10"/>
  <c r="R51" i="10"/>
  <c r="AC237" i="11"/>
  <c r="U28" i="10"/>
  <c r="U293" i="11"/>
  <c r="W295" i="11"/>
  <c r="J322" i="11"/>
  <c r="U324" i="11"/>
  <c r="W264" i="11"/>
  <c r="W29" i="10" s="1"/>
  <c r="I324" i="11"/>
  <c r="T295" i="11"/>
  <c r="I293" i="11"/>
  <c r="T264" i="11"/>
  <c r="AA266" i="11"/>
  <c r="AA264" i="11" s="1"/>
  <c r="W33" i="10" s="1"/>
  <c r="F143" i="10"/>
  <c r="E157" i="10"/>
  <c r="E158" i="10" s="1"/>
  <c r="S53" i="10" l="1"/>
  <c r="T53" i="10" s="1"/>
  <c r="V322" i="1"/>
  <c r="AA42" i="10" s="1"/>
  <c r="AA40" i="10" s="1"/>
  <c r="AB40" i="10" s="1"/>
  <c r="AC179" i="2"/>
  <c r="P143" i="10"/>
  <c r="O157" i="10"/>
  <c r="O158" i="10" s="1"/>
  <c r="Y67" i="10"/>
  <c r="Y62" i="10" s="1"/>
  <c r="Y40" i="10"/>
  <c r="Z40" i="10" s="1"/>
  <c r="W40" i="10"/>
  <c r="X40" i="10" s="1"/>
  <c r="W67" i="10"/>
  <c r="M143" i="10"/>
  <c r="N120" i="10"/>
  <c r="AA38" i="10"/>
  <c r="AA37" i="10"/>
  <c r="AC324" i="1"/>
  <c r="AA322" i="1"/>
  <c r="AD295" i="1"/>
  <c r="AF295" i="1" s="1"/>
  <c r="AG295" i="1" s="1"/>
  <c r="AC293" i="1"/>
  <c r="AC296" i="11"/>
  <c r="AD296" i="11" s="1"/>
  <c r="AF296" i="11" s="1"/>
  <c r="AG296" i="11" s="1"/>
  <c r="U56" i="10"/>
  <c r="U57" i="10" s="1"/>
  <c r="U55" i="10" s="1"/>
  <c r="V36" i="10"/>
  <c r="S57" i="10"/>
  <c r="Y37" i="10"/>
  <c r="Y38" i="10"/>
  <c r="Y39" i="10"/>
  <c r="AC39" i="10" s="1"/>
  <c r="W56" i="10"/>
  <c r="W57" i="10" s="1"/>
  <c r="W55" i="10" s="1"/>
  <c r="X55" i="10" s="1"/>
  <c r="X36" i="10"/>
  <c r="AA34" i="10"/>
  <c r="AC34" i="10" s="1"/>
  <c r="AC325" i="11"/>
  <c r="AD325" i="11" s="1"/>
  <c r="AF325" i="11" s="1"/>
  <c r="AG325" i="11" s="1"/>
  <c r="Q120" i="10"/>
  <c r="R53" i="10"/>
  <c r="W293" i="11"/>
  <c r="Y29" i="10" s="1"/>
  <c r="U322" i="11"/>
  <c r="W324" i="11"/>
  <c r="T293" i="11"/>
  <c r="AA295" i="11"/>
  <c r="AA293" i="11" s="1"/>
  <c r="Y33" i="10" s="1"/>
  <c r="T324" i="11"/>
  <c r="I322" i="11"/>
  <c r="AC266" i="11"/>
  <c r="U51" i="10"/>
  <c r="V28" i="10"/>
  <c r="W28" i="10"/>
  <c r="AD237" i="11"/>
  <c r="AF237" i="11" s="1"/>
  <c r="AG237" i="11" s="1"/>
  <c r="AC235" i="11"/>
  <c r="AC42" i="10" l="1"/>
  <c r="AC40" i="10" s="1"/>
  <c r="AD40" i="10" s="1"/>
  <c r="AA67" i="10"/>
  <c r="AA62" i="10" s="1"/>
  <c r="AB62" i="10" s="1"/>
  <c r="AA36" i="10"/>
  <c r="V55" i="10"/>
  <c r="U118" i="10"/>
  <c r="V118" i="10" s="1"/>
  <c r="AC322" i="1"/>
  <c r="AD324" i="1"/>
  <c r="AF324" i="1" s="1"/>
  <c r="AG324" i="1" s="1"/>
  <c r="AA56" i="10"/>
  <c r="AA57" i="10" s="1"/>
  <c r="AA55" i="10" s="1"/>
  <c r="AB55" i="10" s="1"/>
  <c r="AB36" i="10"/>
  <c r="N143" i="10"/>
  <c r="M157" i="10"/>
  <c r="M158" i="10" s="1"/>
  <c r="Y36" i="10"/>
  <c r="AC37" i="10"/>
  <c r="W62" i="10"/>
  <c r="AC67" i="10"/>
  <c r="AC62" i="10" s="1"/>
  <c r="AD62" i="10" s="1"/>
  <c r="S55" i="10"/>
  <c r="AC38" i="10"/>
  <c r="Z62" i="10"/>
  <c r="Q143" i="10"/>
  <c r="R120" i="10"/>
  <c r="W322" i="11"/>
  <c r="AA29" i="10" s="1"/>
  <c r="T322" i="11"/>
  <c r="AA324" i="11"/>
  <c r="AA322" i="11" s="1"/>
  <c r="AA33" i="10" s="1"/>
  <c r="AC33" i="10" s="1"/>
  <c r="U53" i="10"/>
  <c r="V51" i="10"/>
  <c r="AC295" i="11"/>
  <c r="AD266" i="11"/>
  <c r="AF266" i="11" s="1"/>
  <c r="AG266" i="11" s="1"/>
  <c r="AC264" i="11"/>
  <c r="Y28" i="10"/>
  <c r="W51" i="10"/>
  <c r="X28" i="10"/>
  <c r="AA118" i="10" l="1"/>
  <c r="AB118" i="10" s="1"/>
  <c r="AC36" i="10"/>
  <c r="AD36" i="10" s="1"/>
  <c r="T55" i="10"/>
  <c r="S118" i="10"/>
  <c r="W118" i="10"/>
  <c r="X118" i="10" s="1"/>
  <c r="X62" i="10"/>
  <c r="Y56" i="10"/>
  <c r="Z36" i="10"/>
  <c r="R143" i="10"/>
  <c r="Q157" i="10"/>
  <c r="Q158" i="10" s="1"/>
  <c r="W53" i="10"/>
  <c r="X51" i="10"/>
  <c r="Y51" i="10"/>
  <c r="Z28" i="10"/>
  <c r="AC324" i="11"/>
  <c r="U120" i="10"/>
  <c r="V53" i="10"/>
  <c r="AA28" i="10"/>
  <c r="AC29" i="10"/>
  <c r="AC28" i="10" s="1"/>
  <c r="AD295" i="11"/>
  <c r="AF295" i="11" s="1"/>
  <c r="AG295" i="11" s="1"/>
  <c r="AC293" i="11"/>
  <c r="Y57" i="10" l="1"/>
  <c r="AC56" i="10"/>
  <c r="T118" i="10"/>
  <c r="S120" i="10"/>
  <c r="U143" i="10"/>
  <c r="V120" i="10"/>
  <c r="Y53" i="10"/>
  <c r="Z51" i="10"/>
  <c r="AA51" i="10"/>
  <c r="AB28" i="10"/>
  <c r="AD324" i="11"/>
  <c r="AF324" i="11" s="1"/>
  <c r="AG324" i="11" s="1"/>
  <c r="AC322" i="11"/>
  <c r="AC51" i="10"/>
  <c r="C17" i="12" s="1"/>
  <c r="D17" i="12" s="1"/>
  <c r="E17" i="12" s="1"/>
  <c r="F17" i="12" s="1"/>
  <c r="AD28" i="10"/>
  <c r="W120" i="10"/>
  <c r="X53" i="10"/>
  <c r="S143" i="10" l="1"/>
  <c r="T120" i="10"/>
  <c r="Y55" i="10"/>
  <c r="AC57" i="10"/>
  <c r="AC55" i="10" s="1"/>
  <c r="W143" i="10"/>
  <c r="X120" i="10"/>
  <c r="Z53" i="10"/>
  <c r="AA53" i="10"/>
  <c r="AB51" i="10"/>
  <c r="AC53" i="10"/>
  <c r="AD51" i="10"/>
  <c r="U157" i="10"/>
  <c r="U158" i="10" s="1"/>
  <c r="V143" i="10"/>
  <c r="AC118" i="10" l="1"/>
  <c r="AC120" i="10" s="1"/>
  <c r="AD55" i="10"/>
  <c r="T143" i="10"/>
  <c r="S157" i="10"/>
  <c r="S158" i="10" s="1"/>
  <c r="Z55" i="10"/>
  <c r="Y118" i="10"/>
  <c r="AD53" i="10"/>
  <c r="AA120" i="10"/>
  <c r="AB53" i="10"/>
  <c r="X143" i="10"/>
  <c r="W157" i="10"/>
  <c r="W158" i="10" s="1"/>
  <c r="Z118" i="10" l="1"/>
  <c r="Y120" i="10"/>
  <c r="C18" i="12"/>
  <c r="D18" i="12" s="1"/>
  <c r="E18" i="12" s="1"/>
  <c r="F18" i="12" s="1"/>
  <c r="AD118" i="10"/>
  <c r="AA143" i="10"/>
  <c r="AB120" i="10"/>
  <c r="AD120" i="10"/>
  <c r="AC143" i="10"/>
  <c r="C20" i="12" l="1"/>
  <c r="C25" i="12" s="1"/>
  <c r="Y143" i="10"/>
  <c r="Z120" i="10"/>
  <c r="AC145" i="10"/>
  <c r="C27" i="12" s="1"/>
  <c r="AD143" i="10"/>
  <c r="AA157" i="10"/>
  <c r="AA158" i="10" s="1"/>
  <c r="AB143" i="10"/>
  <c r="Y157" i="10" l="1"/>
  <c r="Y158" i="10" s="1"/>
  <c r="Z143" i="10"/>
  <c r="D20" i="12"/>
  <c r="AC157" i="10"/>
  <c r="AC158" i="10" s="1"/>
  <c r="C29" i="12"/>
  <c r="C30" i="12" s="1"/>
  <c r="D25" i="12" l="1"/>
  <c r="D27" i="12"/>
  <c r="F20" i="12"/>
  <c r="E20" i="12"/>
  <c r="D29" i="12" l="1"/>
  <c r="D30" i="12" s="1"/>
  <c r="E25" i="12"/>
  <c r="E27" i="12"/>
  <c r="F27" i="12"/>
  <c r="F25" i="12"/>
  <c r="F29" i="12" l="1"/>
  <c r="E29" i="12"/>
  <c r="E30" i="12" s="1"/>
  <c r="F30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  <author>paolo</author>
  </authors>
  <commentList>
    <comment ref="B12" authorId="0" shapeId="0" xr:uid="{A80EDDE2-471A-44C0-B924-BEAD333762C8}">
      <text>
        <r>
          <rPr>
            <b/>
            <sz val="9"/>
            <color indexed="81"/>
            <rFont val="Tahoma"/>
            <family val="2"/>
          </rPr>
          <t>Si considera che per quanto il vetro ci venga regalato, è prudenziale stimare un costo di pulizia/lavaggio del materiale, eliminazione di etichette e colla, stoccaggio. 
Teorizzati una serie di costi relativi a quanto sopra, si stima che il costo del processo al Kg ammonti a: 0,0067890€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 xr:uid="{125ECEDC-90DF-4D12-A90F-A2652722A24A}">
      <text>
        <r>
          <rPr>
            <b/>
            <sz val="9"/>
            <color indexed="81"/>
            <rFont val="Tahoma"/>
            <family val="2"/>
          </rPr>
          <t>Quota di ammortamento annuo/il numero di giorni teorici lavorativi in un anno (222). 
Da ricordarsi OGNI ANNO di aggiornare la formula con la quota di ammortamento di competenza.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1" shapeId="0" xr:uid="{9FE1BAB7-77FE-4AA3-A272-692676445D2E}">
      <text>
        <r>
          <rPr>
            <b/>
            <sz val="9"/>
            <color indexed="81"/>
            <rFont val="Tahoma"/>
            <family val="2"/>
          </rPr>
          <t>2kg di vetro = 40 mt di filamento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" authorId="0" shapeId="0" xr:uid="{2A8A50AA-D3E4-4385-9661-4EFDEC9E3ED7}">
      <text>
        <r>
          <rPr>
            <b/>
            <sz val="9"/>
            <color indexed="81"/>
            <rFont val="Tahoma"/>
            <family val="2"/>
          </rPr>
          <t xml:space="preserve">350€ di costo mensile spalmato sui volumi di vetro utilizzati per la produzione media giornaliera 
Costo mese/giorni * %bottiglie a prodotto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2" authorId="1" shapeId="0" xr:uid="{B9F6661F-E889-4EA8-A4EA-94B500D45D18}">
      <text>
        <r>
          <rPr>
            <sz val="9"/>
            <color indexed="81"/>
            <rFont val="Tahoma"/>
            <family val="2"/>
          </rPr>
          <t xml:space="preserve">Costo netto orario per dipendente 9€/h. Il costo orario lordo è pari al 210%
</t>
        </r>
      </text>
    </comment>
    <comment ref="C40" authorId="0" shapeId="0" xr:uid="{95D36F12-1A7A-4ECD-A376-11B1ADA2172E}">
      <text>
        <r>
          <rPr>
            <b/>
            <sz val="9"/>
            <color indexed="81"/>
            <rFont val="Tahoma"/>
            <family val="2"/>
          </rPr>
          <t xml:space="preserve">in un semestre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G4" authorId="0" shapeId="0" xr:uid="{5A8EE386-7054-4B7E-9DDD-560105F0269E}">
      <text>
        <r>
          <rPr>
            <b/>
            <sz val="9"/>
            <color indexed="81"/>
            <rFont val="Tahoma"/>
            <family val="2"/>
          </rPr>
          <t xml:space="preserve">COSTO ORARIO * NUMERO DI ORE * NUMERO DI PRODOTTI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5B346251-F346-48B0-90F2-FD6A74CB215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4" authorId="0" shapeId="0" xr:uid="{722FC55C-6D22-46FB-879A-67B2EDC074A5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" authorId="0" shapeId="0" xr:uid="{69880336-0948-41F0-9971-9F8987228C57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3" authorId="0" shapeId="0" xr:uid="{80D67457-0354-4DA5-AAF9-A590F62EC032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1" authorId="0" shapeId="0" xr:uid="{297AAAB0-7989-4954-861D-EFA3EDA50DA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62" authorId="0" shapeId="0" xr:uid="{ABDEC335-A739-4EC1-950F-89E7C4FCBC24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0" authorId="0" shapeId="0" xr:uid="{5781D588-CEAF-4583-87E5-1347A28EDAFE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91" authorId="0" shapeId="0" xr:uid="{AC7ACC83-97B7-4F45-A368-85145934CE77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9" authorId="0" shapeId="0" xr:uid="{68C5255E-D58A-4244-820C-EF55B9EA48D7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20" authorId="0" shapeId="0" xr:uid="{48ADB3FA-D139-4710-AD8B-6E8B94DD0C33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8" authorId="0" shapeId="0" xr:uid="{FE284EDC-6EBC-452B-BD96-76D5485C967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49" authorId="0" shapeId="0" xr:uid="{C710ECD8-8874-4235-9EC2-A95FB2001AD1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7" authorId="0" shapeId="0" xr:uid="{697277EC-5C08-42A1-A7CD-EEEE70C077D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78" authorId="0" shapeId="0" xr:uid="{CB1A61CA-818C-4E10-884E-5C4B29CAD1E1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06" authorId="0" shapeId="0" xr:uid="{F3AF3E6B-7FA6-45B9-BEDD-A98ADF7AC6B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07" authorId="0" shapeId="0" xr:uid="{E50BF0CC-B151-48E3-98AD-D72E3389572A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35" authorId="0" shapeId="0" xr:uid="{5C979E0A-5994-45C3-A743-D4A1B77D07C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36" authorId="0" shapeId="0" xr:uid="{FD97E09C-22F1-44B8-998F-16D6F337E9F0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64" authorId="0" shapeId="0" xr:uid="{C61F5D1D-6BE0-4E32-BE35-DFEECF9F0780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65" authorId="0" shapeId="0" xr:uid="{9227E458-2D96-4A3D-9202-77C84F688FDD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93" authorId="0" shapeId="0" xr:uid="{FE69E716-C8D7-41A8-9D88-A16E77B5A84E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94" authorId="0" shapeId="0" xr:uid="{88928758-B584-425D-AEEF-C8D6678B8328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2" authorId="0" shapeId="0" xr:uid="{C4F6FDBD-F8CC-46F6-BA65-6C524361E22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23" authorId="0" shapeId="0" xr:uid="{D848E5AD-2825-40D1-B4CD-6F1CEEECBD0A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5D4052E5-DAD4-4F23-BFFF-D85D34972A14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4" authorId="0" shapeId="0" xr:uid="{B5C5FAF7-28F8-4760-8730-1BD177A7EF99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9" authorId="0" shapeId="0" xr:uid="{F1D63BA6-81B8-4271-8D62-DEE83A6EA1ED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0" authorId="0" shapeId="0" xr:uid="{A4089FCA-C677-458B-951D-88AE6E4A1748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5" authorId="0" shapeId="0" xr:uid="{103E8BDF-76E3-40AC-8C73-693ACC56901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6" authorId="0" shapeId="0" xr:uid="{F9F60A94-8D7F-43AB-A3AC-D28AFF48DD7F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1" authorId="0" shapeId="0" xr:uid="{C1565885-1B5C-4278-8B50-06637823743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2" authorId="0" shapeId="0" xr:uid="{F1529A85-21F3-4D4A-9FF8-1F9C11051900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7" authorId="0" shapeId="0" xr:uid="{88282440-86E5-46F0-8D57-AA252B67BB4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68" authorId="0" shapeId="0" xr:uid="{A2543012-0984-4A3B-8D87-272AE85C818F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3" authorId="0" shapeId="0" xr:uid="{4559776F-4764-41AA-8DB0-6FE130B0DFF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4" authorId="0" shapeId="0" xr:uid="{07CFCD7A-1170-4542-8B51-0F365D0DE9A4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9" authorId="0" shapeId="0" xr:uid="{9D01EF5B-547E-42B9-A8FE-9FD194920A67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00" authorId="0" shapeId="0" xr:uid="{8CEE10AD-B18D-400F-B419-ADAD8341ADE9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5" authorId="0" shapeId="0" xr:uid="{6B9CB6CF-9491-49A8-A572-5E59C176477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6" authorId="0" shapeId="0" xr:uid="{E2A1DFD8-6481-4ABB-B243-E1B269B2A310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31" authorId="0" shapeId="0" xr:uid="{3F2C930E-3557-4978-AF2B-28C092E0DAF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32" authorId="0" shapeId="0" xr:uid="{A60B6E93-8BDA-4C68-926E-5571256E0753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7" authorId="0" shapeId="0" xr:uid="{80725741-80CF-4A6E-8E05-31579500DC8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48" authorId="0" shapeId="0" xr:uid="{22FAD0E1-AFA6-4B87-9E0A-D59F5F238C8E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63" authorId="0" shapeId="0" xr:uid="{053ACCAA-79F2-46C2-879D-DC8BC0025C5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64" authorId="0" shapeId="0" xr:uid="{3A082891-565B-4285-B963-6510E9B068E5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9" authorId="0" shapeId="0" xr:uid="{34168BF5-881E-4544-AF6C-14B85935DCB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80" authorId="0" shapeId="0" xr:uid="{A5CA5E0D-E9FD-43FC-86A3-7323A89C8234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3A46B9B4-B626-4499-BBA4-4B7E6E8F130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0" authorId="0" shapeId="0" xr:uid="{AEE8DB47-2DE6-4A5C-8985-4F3A3F0D261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7" authorId="0" shapeId="0" xr:uid="{20A8E6B4-8DE8-45E7-8AC3-5A358E10140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4" authorId="0" shapeId="0" xr:uid="{36293636-8A13-4CFB-A7C4-7F0505574BF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71" authorId="0" shapeId="0" xr:uid="{BC404708-E550-4280-A771-ABB5A43BCD5E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8" authorId="0" shapeId="0" xr:uid="{99695BC3-3195-40F5-8502-021B0211D4E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05" authorId="0" shapeId="0" xr:uid="{BF6F6525-22FF-4B78-BDBF-078DB8EF493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22" authorId="0" shapeId="0" xr:uid="{CE8A8AE2-DD0E-479F-A8F0-8C5B6BB5E04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39" authorId="0" shapeId="0" xr:uid="{B8F4762B-925E-46A1-B6E7-35A4002B4DD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56" authorId="0" shapeId="0" xr:uid="{519E849B-5669-4560-BEBC-75DF8D901F5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3" authorId="0" shapeId="0" xr:uid="{C0624582-2EF1-495D-8302-2CA62FEE4B6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90" authorId="0" shapeId="0" xr:uid="{7A72519E-538B-41A8-9BDE-E7ECD3FED16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474F2BB6-44F3-4E17-B39A-9D67A2AD701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" authorId="0" shapeId="0" xr:uid="{A708C753-D0D0-42FA-9322-B127F1CF0B0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9" authorId="0" shapeId="0" xr:uid="{F265B72A-22B1-406F-8C89-B905CD1AAD2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7" authorId="0" shapeId="0" xr:uid="{B868C6BC-6F65-46E5-9BF8-F35D71D00DC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5" authorId="0" shapeId="0" xr:uid="{FD12A637-65E3-4CAB-969C-77F2E71389A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3" authorId="0" shapeId="0" xr:uid="{1529508B-9CDC-455F-84EF-6F0623D097D1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1" authorId="0" shapeId="0" xr:uid="{B830BB53-215C-4B66-935C-8B681A44C07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9" authorId="0" shapeId="0" xr:uid="{73C81B9C-B14B-4C50-B989-3EB8B2DB759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7" authorId="0" shapeId="0" xr:uid="{74C8B29A-6521-4D34-9761-16C64260301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75" authorId="0" shapeId="0" xr:uid="{EDB654AB-7A09-4657-8E6D-635A823A6B51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3" authorId="0" shapeId="0" xr:uid="{3B5BF653-BC70-454B-8BDA-9FD57D74F71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1" authorId="0" shapeId="0" xr:uid="{8C8ED80E-F91C-48B8-A236-B6B584A0E3EF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215CF330-81CC-4B31-9D04-253D1F1E456D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" authorId="0" shapeId="0" xr:uid="{3C0CF48F-9A03-481E-9E00-855061E2C1B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1" authorId="0" shapeId="0" xr:uid="{AD73A74F-14C4-4095-B0DD-21B2AA1BD4A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0" authorId="0" shapeId="0" xr:uid="{2BC9BB04-7CFC-465F-9EFF-53774DDBFB8F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9" authorId="0" shapeId="0" xr:uid="{013B0790-1816-4779-9842-D07CA57B335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8" authorId="0" shapeId="0" xr:uid="{21D5EECC-5C8B-400B-BBA8-5096B1F6CF3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7" authorId="0" shapeId="0" xr:uid="{C977440C-2D07-41DA-9B0A-EE474D669FC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06" authorId="0" shapeId="0" xr:uid="{7253E7CB-82F8-428C-B608-5BEF92D7CC4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35" authorId="0" shapeId="0" xr:uid="{95428E94-B45B-4BCF-9F7D-C031C4253F2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64" authorId="0" shapeId="0" xr:uid="{0A2ECBD0-C5DB-4003-861E-6C007A93F68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93" authorId="0" shapeId="0" xr:uid="{AA7553F2-912C-4E83-BD64-BA5A857DF7F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2" authorId="0" shapeId="0" xr:uid="{62DCC264-2FF5-4627-98F1-FACB3E115C4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<sst xmlns="http://schemas.openxmlformats.org/spreadsheetml/2006/main" count="2869" uniqueCount="516">
  <si>
    <t>Prodotto</t>
  </si>
  <si>
    <t>Tavolo twist Logo</t>
  </si>
  <si>
    <t>num. Bottiglie</t>
  </si>
  <si>
    <t xml:space="preserve">Vaso bitorzolo curvo </t>
  </si>
  <si>
    <t>layer altezza (mm)</t>
  </si>
  <si>
    <t>layer larghezza (mm)</t>
  </si>
  <si>
    <t>volume (kg/m3)</t>
  </si>
  <si>
    <t>peso (kg)</t>
  </si>
  <si>
    <t>peso bottiglia</t>
  </si>
  <si>
    <t>Vaso bitorzolo twist</t>
  </si>
  <si>
    <t>Vaso bitorzolo dritto</t>
  </si>
  <si>
    <t>Porta riviste</t>
  </si>
  <si>
    <t>Bicchiere curve twist</t>
  </si>
  <si>
    <t>Bicchiere curve dritto</t>
  </si>
  <si>
    <t>Caraffa curva</t>
  </si>
  <si>
    <t>Caraffa colonna dritta</t>
  </si>
  <si>
    <t>Caraffa colonna twist1</t>
  </si>
  <si>
    <t>Caraffa colonna twist2</t>
  </si>
  <si>
    <t>Caraffa colonna twist3</t>
  </si>
  <si>
    <t>Bicchiere colonna twist1</t>
  </si>
  <si>
    <t>Bicchiere colonna twist2</t>
  </si>
  <si>
    <t>Bicchiere colonna twist3</t>
  </si>
  <si>
    <t>Bicchiere colonna twist alto</t>
  </si>
  <si>
    <t>Oliera1</t>
  </si>
  <si>
    <t>Lampada 90 grossa</t>
  </si>
  <si>
    <t>Lampada 90 piccola</t>
  </si>
  <si>
    <t>Vaso Logo</t>
  </si>
  <si>
    <t>Copri candela</t>
  </si>
  <si>
    <t>Piatto spirale</t>
  </si>
  <si>
    <t xml:space="preserve">Vaso Grosso </t>
  </si>
  <si>
    <t>Ambiente</t>
  </si>
  <si>
    <t>Densità</t>
  </si>
  <si>
    <t xml:space="preserve">VOLUMI </t>
  </si>
  <si>
    <t>VALORE DI PRODUZIONE UNITARIO</t>
  </si>
  <si>
    <t>energia €/h</t>
  </si>
  <si>
    <t>materiale €/m3</t>
  </si>
  <si>
    <t>COSTO UNITARIO</t>
  </si>
  <si>
    <t>mod €/h</t>
  </si>
  <si>
    <t>Ecc.</t>
  </si>
  <si>
    <t>q.tà da produrre</t>
  </si>
  <si>
    <t>DATI DI INSERIMENTO UNITARI</t>
  </si>
  <si>
    <t>COSTO COMPLESSIVO</t>
  </si>
  <si>
    <t>COSTO TOTALE</t>
  </si>
  <si>
    <t>tempi cumulativi</t>
  </si>
  <si>
    <t>tempo</t>
  </si>
  <si>
    <t>h</t>
  </si>
  <si>
    <t>u.m.</t>
  </si>
  <si>
    <t>€/kwh</t>
  </si>
  <si>
    <t>kg</t>
  </si>
  <si>
    <t>valore</t>
  </si>
  <si>
    <t>kg/m3</t>
  </si>
  <si>
    <t>densità</t>
  </si>
  <si>
    <t>ecc</t>
  </si>
  <si>
    <t>RAW MATERIALS</t>
  </si>
  <si>
    <t>VARIABLE COSTS</t>
  </si>
  <si>
    <t>€/h 60imi</t>
  </si>
  <si>
    <t>mod 9,50€/h</t>
  </si>
  <si>
    <t>60imi</t>
  </si>
  <si>
    <t>calcolo ore/minuti</t>
  </si>
  <si>
    <t>amm.macch.</t>
  </si>
  <si>
    <t>VENDITA</t>
  </si>
  <si>
    <t>MATR.</t>
  </si>
  <si>
    <t>DESCRIZIONE</t>
  </si>
  <si>
    <t>FORNITORE</t>
  </si>
  <si>
    <t>FT.</t>
  </si>
  <si>
    <t>DATA</t>
  </si>
  <si>
    <t>V.O.</t>
  </si>
  <si>
    <t>AMM</t>
  </si>
  <si>
    <t>F.DO</t>
  </si>
  <si>
    <t>V.R.</t>
  </si>
  <si>
    <t>CLIENTE</t>
  </si>
  <si>
    <t>CONTO</t>
  </si>
  <si>
    <t>PREZZO</t>
  </si>
  <si>
    <t>(MINUS)</t>
  </si>
  <si>
    <t>PLUS</t>
  </si>
  <si>
    <t>2000-00135</t>
  </si>
  <si>
    <t>ID cespite</t>
  </si>
  <si>
    <t>STAMPANTE 3D A FILO PER VETRO</t>
  </si>
  <si>
    <t>MACCHINA PER LA PREPARAZIONE DEL FILO DI VETRO</t>
  </si>
  <si>
    <t>ammort.</t>
  </si>
  <si>
    <t>Tempo teorico annuo</t>
  </si>
  <si>
    <t>gg</t>
  </si>
  <si>
    <t>minuti</t>
  </si>
  <si>
    <t>giorni</t>
  </si>
  <si>
    <t>Accensione</t>
  </si>
  <si>
    <t>Stampa (forno)</t>
  </si>
  <si>
    <t>Stampa (estrusore)</t>
  </si>
  <si>
    <t>ENERGIA</t>
  </si>
  <si>
    <t>Costo energia</t>
  </si>
  <si>
    <t>Consumo energia</t>
  </si>
  <si>
    <t>kwh</t>
  </si>
  <si>
    <t>Ogni accensione</t>
  </si>
  <si>
    <t>(dura 50')</t>
  </si>
  <si>
    <t>Amm</t>
  </si>
  <si>
    <t>Accens</t>
  </si>
  <si>
    <t>Produzione sbarre</t>
  </si>
  <si>
    <t>2kg=40mt</t>
  </si>
  <si>
    <t>Trasporto mat.</t>
  </si>
  <si>
    <t>FORNITURE</t>
  </si>
  <si>
    <t>SOFTWARE</t>
  </si>
  <si>
    <t>Packaging</t>
  </si>
  <si>
    <t>Affitto</t>
  </si>
  <si>
    <t>Comm./mktg</t>
  </si>
  <si>
    <t>Lastra tavolino</t>
  </si>
  <si>
    <t>FIXED COSTS</t>
  </si>
  <si>
    <t>700€/mese</t>
  </si>
  <si>
    <t>Compenso CEO</t>
  </si>
  <si>
    <t>Interessi finanz.</t>
  </si>
  <si>
    <t>€/bottiglia</t>
  </si>
  <si>
    <t>Porta lampade</t>
  </si>
  <si>
    <t>Cavi lampade</t>
  </si>
  <si>
    <t>trasporto</t>
  </si>
  <si>
    <t>fornitura</t>
  </si>
  <si>
    <t>tavolino</t>
  </si>
  <si>
    <t>lampada</t>
  </si>
  <si>
    <t>forniture</t>
  </si>
  <si>
    <t>costo un.</t>
  </si>
  <si>
    <t>p.v.</t>
  </si>
  <si>
    <t>Mark up</t>
  </si>
  <si>
    <t>€</t>
  </si>
  <si>
    <t>%</t>
  </si>
  <si>
    <t xml:space="preserve">FATTURATO </t>
  </si>
  <si>
    <t>OSTELLIERE</t>
  </si>
  <si>
    <t>ORTO</t>
  </si>
  <si>
    <t>LA GALLINA</t>
  </si>
  <si>
    <t>kit montaggio</t>
  </si>
  <si>
    <t>Costo MOD (part time a 4 ore/giorno)</t>
  </si>
  <si>
    <t>Costo orario</t>
  </si>
  <si>
    <t>Costo mese</t>
  </si>
  <si>
    <t>100€/mese</t>
  </si>
  <si>
    <t>BEP</t>
  </si>
  <si>
    <t>CF</t>
  </si>
  <si>
    <t>diviso</t>
  </si>
  <si>
    <t>RICAVI</t>
  </si>
  <si>
    <t>meno</t>
  </si>
  <si>
    <t>COSTI VARIABILI</t>
  </si>
  <si>
    <t>5000€/mese</t>
  </si>
  <si>
    <t>Spese varie</t>
  </si>
  <si>
    <t>Finanziamento</t>
  </si>
  <si>
    <t>Cifra erogata</t>
  </si>
  <si>
    <t>int. Tasso fisso</t>
  </si>
  <si>
    <t>292€/mese</t>
  </si>
  <si>
    <t>P.B.T.</t>
  </si>
  <si>
    <t>COSTI FISSI</t>
  </si>
  <si>
    <t>PROGETTAZIONE</t>
  </si>
  <si>
    <t>MESE</t>
  </si>
  <si>
    <t>B to B</t>
  </si>
  <si>
    <t>B to C</t>
  </si>
  <si>
    <t>prezzi di vendita</t>
  </si>
  <si>
    <t>giorni lavorativi teorici al mese</t>
  </si>
  <si>
    <t>(saturazione impianto per 8 ore al giorno per teorico di 222 gg lavorativi/anno)</t>
  </si>
  <si>
    <t xml:space="preserve">arrotondati a </t>
  </si>
  <si>
    <t>CONTO ECONOMICO</t>
  </si>
  <si>
    <t>RICAVI DELLE VENDITE</t>
  </si>
  <si>
    <t>0501000001</t>
  </si>
  <si>
    <t>0501000002</t>
  </si>
  <si>
    <t>0501000003</t>
  </si>
  <si>
    <t>RICAVI DIVERSI DELLE VENDITE</t>
  </si>
  <si>
    <t>0502000001</t>
  </si>
  <si>
    <t>Rimborsi spese di trasporto</t>
  </si>
  <si>
    <t>0502000006</t>
  </si>
  <si>
    <t>Proventi diversi</t>
  </si>
  <si>
    <t>VARIAZIONI DI ACQUISTI</t>
  </si>
  <si>
    <t>0503000002</t>
  </si>
  <si>
    <t>Abbuoni attivi</t>
  </si>
  <si>
    <t>0503000003</t>
  </si>
  <si>
    <t>Premi di quantit. su acquisti</t>
  </si>
  <si>
    <t>0503000004</t>
  </si>
  <si>
    <t>Arrotondamenti attivi</t>
  </si>
  <si>
    <t>PROVENTI INTERESSI</t>
  </si>
  <si>
    <t>0504000001</t>
  </si>
  <si>
    <t>Interessi attivi bancari</t>
  </si>
  <si>
    <t>PLUSVALENZE SU IMM.MATERIALI</t>
  </si>
  <si>
    <t>0505000001</t>
  </si>
  <si>
    <t>0505000006</t>
  </si>
  <si>
    <t>SOPRAVVENIENZE ATTIVE</t>
  </si>
  <si>
    <t>0509000001</t>
  </si>
  <si>
    <t>Sopravvenienze attive</t>
  </si>
  <si>
    <t>VARIAZIONI DI RICAVI</t>
  </si>
  <si>
    <t>0402000002</t>
  </si>
  <si>
    <t>Abbuoni passivi</t>
  </si>
  <si>
    <t>0402000005</t>
  </si>
  <si>
    <t>Rimborsi a clienti</t>
  </si>
  <si>
    <t>ESISTENZE INIZIALI MAGAZZINO</t>
  </si>
  <si>
    <t>0400000001</t>
  </si>
  <si>
    <t>ACQUISTI PER LA PRODUZIONE</t>
  </si>
  <si>
    <t>0401000001</t>
  </si>
  <si>
    <t>0401000002</t>
  </si>
  <si>
    <t>0401000003</t>
  </si>
  <si>
    <t>Acquisto ricambi macchinari</t>
  </si>
  <si>
    <t>0401000004</t>
  </si>
  <si>
    <t>0401000006</t>
  </si>
  <si>
    <t>Noleggio macchinari</t>
  </si>
  <si>
    <t>Canoni leasing macchinari</t>
  </si>
  <si>
    <t>COSTI PERSONALE DI PRODUZIONE</t>
  </si>
  <si>
    <t>0402500001</t>
  </si>
  <si>
    <t>0402500003</t>
  </si>
  <si>
    <t>Trasferta Italia</t>
  </si>
  <si>
    <t>SERVIZI INDUSTRIALI</t>
  </si>
  <si>
    <t>0404000008</t>
  </si>
  <si>
    <t>0404000010</t>
  </si>
  <si>
    <t>0404000011</t>
  </si>
  <si>
    <t>0404000012</t>
  </si>
  <si>
    <t>Spese Noleggi attrezz/imp/automezzi</t>
  </si>
  <si>
    <t>0404000013</t>
  </si>
  <si>
    <t>0404000014</t>
  </si>
  <si>
    <t>Lavoraz.di terzi p/prod.serviz</t>
  </si>
  <si>
    <t>Spese manut/ripar.attrezzature</t>
  </si>
  <si>
    <t>Provvigioni</t>
  </si>
  <si>
    <t>Spese Consul.commerciali/tecniche</t>
  </si>
  <si>
    <t>ESISTENZE FINALI MAGAZZINO (ricavi sospesi)</t>
  </si>
  <si>
    <t>0509500001</t>
  </si>
  <si>
    <t>COSTO DEL VENDUTO</t>
  </si>
  <si>
    <t>MARGINE di CONTRIBUZIONE LORDO</t>
  </si>
  <si>
    <t>COSTI PERSONALE ACCESSORIO</t>
  </si>
  <si>
    <t>0403000001</t>
  </si>
  <si>
    <t>Stipendi</t>
  </si>
  <si>
    <t>0403000003</t>
  </si>
  <si>
    <t>Quota acc.to TFR</t>
  </si>
  <si>
    <t>Rimborso spese</t>
  </si>
  <si>
    <t>0405500022</t>
  </si>
  <si>
    <t>Compensi amministratore</t>
  </si>
  <si>
    <t>0405500023</t>
  </si>
  <si>
    <t>inps amministratore</t>
  </si>
  <si>
    <t>COSTI FISSI INDUSTRIALI</t>
  </si>
  <si>
    <t>0404000001</t>
  </si>
  <si>
    <t>0404000002</t>
  </si>
  <si>
    <t>Spese Manut.ripar.immob/impian</t>
  </si>
  <si>
    <t>0404000004</t>
  </si>
  <si>
    <t>Spese Affitti passivi</t>
  </si>
  <si>
    <t>0404000005</t>
  </si>
  <si>
    <t>Spese Riscaldamento</t>
  </si>
  <si>
    <t>0404000007</t>
  </si>
  <si>
    <t>Spese Elabor.tecniche esterne</t>
  </si>
  <si>
    <t>0404000015</t>
  </si>
  <si>
    <t>Spese Smaltimento Rifiuti</t>
  </si>
  <si>
    <t>Spese per canoni assistenza</t>
  </si>
  <si>
    <t>0404500002</t>
  </si>
  <si>
    <t>Intermediazioni commerciali</t>
  </si>
  <si>
    <t>0404500005</t>
  </si>
  <si>
    <t>Spese Trasporti</t>
  </si>
  <si>
    <t>0404500006</t>
  </si>
  <si>
    <t>0404500007</t>
  </si>
  <si>
    <t>Spese Rappresentanza</t>
  </si>
  <si>
    <t>0404500010</t>
  </si>
  <si>
    <t>Spese Autostrade e viaggi</t>
  </si>
  <si>
    <t>0404500011</t>
  </si>
  <si>
    <t>0404500014</t>
  </si>
  <si>
    <t>0404500017</t>
  </si>
  <si>
    <t>0404500020</t>
  </si>
  <si>
    <t>0404500021</t>
  </si>
  <si>
    <t>0404500023</t>
  </si>
  <si>
    <t>Compensi a terzi legali</t>
  </si>
  <si>
    <t>0404500024</t>
  </si>
  <si>
    <t>Spese Elaboraz.dati e software</t>
  </si>
  <si>
    <t>0404500025</t>
  </si>
  <si>
    <t>0404500026</t>
  </si>
  <si>
    <t>0404500029</t>
  </si>
  <si>
    <t>0404500030</t>
  </si>
  <si>
    <t>Spese Bolli autocarri</t>
  </si>
  <si>
    <t>Spese bolli autovetture</t>
  </si>
  <si>
    <t>Consulenze Studio commercialista</t>
  </si>
  <si>
    <t>Consulenze Studio paghe</t>
  </si>
  <si>
    <t>Spese visite mediche dipendenti</t>
  </si>
  <si>
    <t>Carburanti e lubr. auto A.D.</t>
  </si>
  <si>
    <t>Consulenze Revisione</t>
  </si>
  <si>
    <t>Spese Manut.rip. macch.ufficio</t>
  </si>
  <si>
    <t>Spese Telefoniche,Fax e intern</t>
  </si>
  <si>
    <t>Spese Postali e telegrafiche</t>
  </si>
  <si>
    <t>Spese Assicurazioni</t>
  </si>
  <si>
    <t>Spese Cancell,toner,stamp, ecc</t>
  </si>
  <si>
    <t>Spese Valori bollati</t>
  </si>
  <si>
    <t>Spese Quote Associative varie</t>
  </si>
  <si>
    <t>Spese Multe e ammende</t>
  </si>
  <si>
    <t>Spese Servizi Amministr. Vari</t>
  </si>
  <si>
    <t>Spese di ospitalità</t>
  </si>
  <si>
    <t>Spese Dazi e varie doganali</t>
  </si>
  <si>
    <t>Spese Abbon. riviste + LIBRI</t>
  </si>
  <si>
    <t>Spese Pulizie e materiali</t>
  </si>
  <si>
    <t>Spese notarili</t>
  </si>
  <si>
    <t>licenze d'uso software</t>
  </si>
  <si>
    <t>AMMORTAMENTI</t>
  </si>
  <si>
    <t>0408500001</t>
  </si>
  <si>
    <t>Ammortamenti automezzi</t>
  </si>
  <si>
    <t>0408500003</t>
  </si>
  <si>
    <t>Ammortamenti impianti generici</t>
  </si>
  <si>
    <t>0408500004</t>
  </si>
  <si>
    <t>Ammortamenti attr.varia e minuta</t>
  </si>
  <si>
    <t>0408500005</t>
  </si>
  <si>
    <t>0408500006</t>
  </si>
  <si>
    <t>Ammortamenti arredamento</t>
  </si>
  <si>
    <t>0408500007</t>
  </si>
  <si>
    <t>Ammortamenti attrezzatura</t>
  </si>
  <si>
    <t>0408500008</t>
  </si>
  <si>
    <t>Ammortamenti beni ammort.eser.</t>
  </si>
  <si>
    <t>0408500010</t>
  </si>
  <si>
    <t>Ammort. miglior.plurien.beni di terzi</t>
  </si>
  <si>
    <t>Ammortamento telefoni cellulari</t>
  </si>
  <si>
    <t>RISULTATO OPERATIVO</t>
  </si>
  <si>
    <t>ONERI FINANZIARI V/BANCHE</t>
  </si>
  <si>
    <t>0406500001</t>
  </si>
  <si>
    <t>Spese e commissioni bancarie</t>
  </si>
  <si>
    <t>Interessi passivi di mora</t>
  </si>
  <si>
    <t>SCONTI ED ONERI VARI</t>
  </si>
  <si>
    <t>0406800001</t>
  </si>
  <si>
    <t>Sopravv.passive indeducibili</t>
  </si>
  <si>
    <t>IMPOSTE TASSE ESERC.IN CORSO</t>
  </si>
  <si>
    <t>0407000002</t>
  </si>
  <si>
    <t>Imposte varie eserciz.in corso</t>
  </si>
  <si>
    <t>0407000003</t>
  </si>
  <si>
    <t>Imposta bollo-registro-CCIAA</t>
  </si>
  <si>
    <t>0407000013</t>
  </si>
  <si>
    <t>Tassa di concessione governat.</t>
  </si>
  <si>
    <t>Altre imposte e tasse deducib.</t>
  </si>
  <si>
    <t>Imposta di bollo</t>
  </si>
  <si>
    <t>Imposte varie esercizi preced.</t>
  </si>
  <si>
    <t>MINUSVALENZE</t>
  </si>
  <si>
    <t>0409000001</t>
  </si>
  <si>
    <t>Minusvalenza</t>
  </si>
  <si>
    <t>SPESE E PERDITE VARIE</t>
  </si>
  <si>
    <t>0409500001</t>
  </si>
  <si>
    <t>Perdite su crediti</t>
  </si>
  <si>
    <t>0409500004</t>
  </si>
  <si>
    <t>Perdite su cambi</t>
  </si>
  <si>
    <t>Accant. svalutazione crediti</t>
  </si>
  <si>
    <t>Svalutazione magazzino</t>
  </si>
  <si>
    <t>IMPOSTE E TASSE</t>
  </si>
  <si>
    <t>0407000011</t>
  </si>
  <si>
    <t>Imposta IRES</t>
  </si>
  <si>
    <t>0407000012</t>
  </si>
  <si>
    <t>Imposta IRAP</t>
  </si>
  <si>
    <t>Imposta differita IRES</t>
  </si>
  <si>
    <t>Imposta differita IRAP</t>
  </si>
  <si>
    <t>COSTI INDEDUCIBILI</t>
  </si>
  <si>
    <t>0401500002</t>
  </si>
  <si>
    <t>Spese DI RAPPR.FISCALM.INDED</t>
  </si>
  <si>
    <t>0401500003</t>
  </si>
  <si>
    <t>Costi Indeducibili</t>
  </si>
  <si>
    <t>SOPRAVVENIENZE PASSIVE</t>
  </si>
  <si>
    <t>0409900001</t>
  </si>
  <si>
    <t>Sopravvenienze passive</t>
  </si>
  <si>
    <t>0409900002</t>
  </si>
  <si>
    <t>Sopravvenienze passive straord</t>
  </si>
  <si>
    <t>RISULTATO NETTO</t>
  </si>
  <si>
    <t>Vendite B to B</t>
  </si>
  <si>
    <t>Vendite B to C</t>
  </si>
  <si>
    <t>Vendite per progettazioni</t>
  </si>
  <si>
    <t>Plusvalenza Macchinari</t>
  </si>
  <si>
    <t>Plusvalenza Cespiti aziendali</t>
  </si>
  <si>
    <t>Rimanenze magazzino</t>
  </si>
  <si>
    <t>Acquisto materie prime (vetro)</t>
  </si>
  <si>
    <t>Acquisti per forniture</t>
  </si>
  <si>
    <t>0401000005</t>
  </si>
  <si>
    <t>0402500002</t>
  </si>
  <si>
    <t xml:space="preserve">Contributi </t>
  </si>
  <si>
    <t xml:space="preserve">Spese Manut. Macchinari </t>
  </si>
  <si>
    <t>0403000002</t>
  </si>
  <si>
    <t>Stipendi MOD</t>
  </si>
  <si>
    <t>Contributi MOD</t>
  </si>
  <si>
    <t>0403000004</t>
  </si>
  <si>
    <t>0404000003</t>
  </si>
  <si>
    <t>0404000006</t>
  </si>
  <si>
    <t xml:space="preserve">Spese Acqua </t>
  </si>
  <si>
    <t>Spese Serv.Comm.vari, marketing, pubblicità</t>
  </si>
  <si>
    <t>0404500001</t>
  </si>
  <si>
    <t>0404500003</t>
  </si>
  <si>
    <t>0404500004</t>
  </si>
  <si>
    <t>0404500008</t>
  </si>
  <si>
    <t>0404500009</t>
  </si>
  <si>
    <t>0404500012</t>
  </si>
  <si>
    <t>0404500013</t>
  </si>
  <si>
    <t>0404500015</t>
  </si>
  <si>
    <t>SERVIZI COMMERCIALI/AMMINISTRATIVI</t>
  </si>
  <si>
    <t>0404500016</t>
  </si>
  <si>
    <t>0404500018</t>
  </si>
  <si>
    <t>0404500019</t>
  </si>
  <si>
    <t>0404500022</t>
  </si>
  <si>
    <t>0404500027</t>
  </si>
  <si>
    <t>0404500028</t>
  </si>
  <si>
    <t>0408500002</t>
  </si>
  <si>
    <t>0408500009</t>
  </si>
  <si>
    <t xml:space="preserve">Ammortam.macchinari </t>
  </si>
  <si>
    <t>Interessi passivi su finanziamenti</t>
  </si>
  <si>
    <t>0406500002</t>
  </si>
  <si>
    <t>0406500003</t>
  </si>
  <si>
    <t>0407000001</t>
  </si>
  <si>
    <t>0407000004</t>
  </si>
  <si>
    <t>0407000005</t>
  </si>
  <si>
    <t>0407000006</t>
  </si>
  <si>
    <t>0409500002</t>
  </si>
  <si>
    <t>0409500003</t>
  </si>
  <si>
    <t>0407000014</t>
  </si>
  <si>
    <t>TOTALE ANNO</t>
  </si>
  <si>
    <t>costo vetro</t>
  </si>
  <si>
    <t>materiale €/Kg</t>
  </si>
  <si>
    <t>€/Kg</t>
  </si>
  <si>
    <t>VILLA SPARINA</t>
  </si>
  <si>
    <t>€/h</t>
  </si>
  <si>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</si>
  <si>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</si>
  <si>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</si>
  <si>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</si>
  <si>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</si>
  <si>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</si>
  <si>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</si>
  <si>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</si>
  <si>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</si>
  <si>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</si>
  <si>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</si>
  <si>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</si>
  <si>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</si>
  <si>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</si>
  <si>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</si>
  <si>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</si>
  <si>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</si>
  <si>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</si>
  <si>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</si>
  <si>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</si>
  <si>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</si>
  <si>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</si>
  <si>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</si>
  <si>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</si>
  <si>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</si>
  <si>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0404000009</t>
  </si>
  <si>
    <t>mod</t>
  </si>
  <si>
    <t>ammort</t>
  </si>
  <si>
    <t xml:space="preserve">PC </t>
  </si>
  <si>
    <t>0408500011</t>
  </si>
  <si>
    <t>Ammortamenti SOFTWARE</t>
  </si>
  <si>
    <t>Ammortamenti macch.elettronici (pc, stampanti,…)</t>
  </si>
  <si>
    <t>stampante</t>
  </si>
  <si>
    <t>tablet</t>
  </si>
  <si>
    <t>M.O.L.</t>
  </si>
  <si>
    <t>check</t>
  </si>
  <si>
    <t>Riscaldamento</t>
  </si>
  <si>
    <t>1200€/anno</t>
  </si>
  <si>
    <t>Spese Energia Elettrica (forza motrice)</t>
  </si>
  <si>
    <t>Spesa energia elettrica (elettricità)</t>
  </si>
  <si>
    <t>Corrente elettrica</t>
  </si>
  <si>
    <t>Acqua</t>
  </si>
  <si>
    <t>10€/mese</t>
  </si>
  <si>
    <t>Smalt.rifiuti</t>
  </si>
  <si>
    <t>1500€/anno</t>
  </si>
  <si>
    <t>costo mese</t>
  </si>
  <si>
    <t>telefono cellulare</t>
  </si>
  <si>
    <t>Trasporto per approvvigionamento vetro</t>
  </si>
  <si>
    <t>0401000007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</si>
  <si>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</si>
  <si>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</si>
  <si>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</si>
  <si>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</si>
  <si>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</si>
  <si>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</si>
  <si>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</si>
  <si>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</si>
  <si>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</si>
  <si>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</si>
  <si>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</si>
  <si>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</si>
  <si>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TOT</t>
  </si>
  <si>
    <t>"ALFA"</t>
  </si>
  <si>
    <t>"BETA"</t>
  </si>
  <si>
    <t>"GAMMA"</t>
  </si>
  <si>
    <t>"DELTA"</t>
  </si>
  <si>
    <t>"EPSILON"</t>
  </si>
  <si>
    <t>"ZETA"</t>
  </si>
  <si>
    <t>"ETA"</t>
  </si>
  <si>
    <t>"THETA"</t>
  </si>
  <si>
    <t>"IOTA"</t>
  </si>
  <si>
    <t>"KAPPA"</t>
  </si>
  <si>
    <t>"LAMBDA"</t>
  </si>
  <si>
    <t>Commercialista</t>
  </si>
  <si>
    <t>1700€/anno</t>
  </si>
  <si>
    <t>Spese telefoniche</t>
  </si>
  <si>
    <t>20€/mese</t>
  </si>
  <si>
    <t>50€/anno</t>
  </si>
  <si>
    <t>250€/anno</t>
  </si>
  <si>
    <t>Mobili e arredi</t>
  </si>
  <si>
    <t>200$/anno</t>
  </si>
  <si>
    <t>2000€/una tantum</t>
  </si>
  <si>
    <t>richiesta finanziamento iniziale</t>
  </si>
  <si>
    <t>tasso fisso</t>
  </si>
  <si>
    <t>durata anni</t>
  </si>
  <si>
    <t>interessi annui</t>
  </si>
  <si>
    <t>montante da restituire</t>
  </si>
  <si>
    <t>Anno 0</t>
  </si>
  <si>
    <t>Anno 1</t>
  </si>
  <si>
    <t>Anno 2</t>
  </si>
  <si>
    <t>Anno 3</t>
  </si>
  <si>
    <t>Anno 4</t>
  </si>
  <si>
    <t>Erogazione Finanziamento</t>
  </si>
  <si>
    <t>n.rate</t>
  </si>
  <si>
    <t>Importo rata</t>
  </si>
  <si>
    <t>rata</t>
  </si>
  <si>
    <t>#</t>
  </si>
  <si>
    <t>Quota int.</t>
  </si>
  <si>
    <t>Quota Cap.</t>
  </si>
  <si>
    <t>Saldo</t>
  </si>
  <si>
    <t>ANNO 1</t>
  </si>
  <si>
    <t>ANNO 2</t>
  </si>
  <si>
    <t>ANNO 3</t>
  </si>
  <si>
    <t>ANNO 4</t>
  </si>
  <si>
    <t>tot. Int.</t>
  </si>
  <si>
    <t>tot. Cap.</t>
  </si>
  <si>
    <t>residuo Cap.</t>
  </si>
  <si>
    <t># rate</t>
  </si>
  <si>
    <t>Restituzione interessi</t>
  </si>
  <si>
    <t>restituzione capitale</t>
  </si>
  <si>
    <t>INCASSI</t>
  </si>
  <si>
    <t>pagamenti CV</t>
  </si>
  <si>
    <t>pagamenti CF</t>
  </si>
  <si>
    <t>Cash flow operativo lordo</t>
  </si>
  <si>
    <t>imposte</t>
  </si>
  <si>
    <t>Cash flow al netto del debito</t>
  </si>
  <si>
    <t>Cash flow al netto</t>
  </si>
  <si>
    <t>Cash flow cumulato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</si>
</sst>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000\ &quot;€&quot;_-;\-* #,##0.00000\ &quot;€&quot;_-;_-* &quot;-&quot;??\ &quot;€&quot;_-;_-@_-"/>
    <numFmt numFmtId="165" formatCode="_-* #,##0.000000\ &quot;€&quot;_-;\-* #,##0.000000\ &quot;€&quot;_-;_-* &quot;-&quot;??\ &quot;€&quot;_-;_-@_-"/>
    <numFmt numFmtId="166" formatCode="_-* #,##0.0000000\ &quot;€&quot;_-;\-* #,##0.0000000\ &quot;€&quot;_-;_-* &quot;-&quot;??\ &quot;€&quot;_-;_-@_-"/>
    <numFmt numFmtId="167" formatCode="_-* #,##0.000000\ &quot;€&quot;_-;\-* #,##0.000000\ &quot;€&quot;_-;_-* &quot;-&quot;??????\ &quot;€&quot;_-;_-@_-"/>
    <numFmt numFmtId="168" formatCode="_-* #,##0_-;\-* #,##0_-;_-* &quot;-&quot;??_-;_-@_-"/>
    <numFmt numFmtId="169" formatCode="#,##0.00_ ;[Red]\(#,##0.00\)\ "/>
    <numFmt numFmtId="170" formatCode="0.00000"/>
    <numFmt numFmtId="171" formatCode="0.0%"/>
    <numFmt numFmtId="172" formatCode="_-* #,##0\ &quot;€&quot;_-;\-* #,##0\ &quot;€&quot;_-;_-* &quot;-&quot;??\ &quot;€&quot;_-;_-@_-"/>
    <numFmt numFmtId="173" formatCode="#,##0.00_ ;[Red]\-#,##0.00\ "/>
  </numFmts>
  <fonts count="3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Aptos Narrow"/>
      <scheme val="minor"/>
    </font>
    <font>
      <sz val="8"/>
      <color rgb="FF00000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.25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8"/>
      <color rgb="FF000000"/>
      <name val="Arial"/>
      <family val="2"/>
    </font>
    <font>
      <b/>
      <sz val="9"/>
      <color theme="1"/>
      <name val="Aptos Narrow"/>
      <scheme val="minor"/>
    </font>
    <font>
      <sz val="8"/>
      <color theme="1"/>
      <name val="Aptos Narrow"/>
      <family val="2"/>
      <scheme val="minor"/>
    </font>
    <font>
      <sz val="8"/>
      <color theme="0" tint="-0.14999847407452621"/>
      <name val="Arial"/>
      <family val="2"/>
    </font>
    <font>
      <b/>
      <i/>
      <sz val="11"/>
      <color theme="1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0A4F6"/>
        <bgColor indexed="64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2" fontId="0" fillId="2" borderId="0" xfId="0" applyNumberFormat="1" applyFill="1"/>
    <xf numFmtId="44" fontId="1" fillId="2" borderId="1" xfId="1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2" fontId="0" fillId="2" borderId="0" xfId="0" applyNumberFormat="1" applyFill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7" fontId="0" fillId="2" borderId="0" xfId="0" applyNumberFormat="1" applyFill="1"/>
    <xf numFmtId="2" fontId="1" fillId="2" borderId="1" xfId="0" applyNumberFormat="1" applyFont="1" applyFill="1" applyBorder="1"/>
    <xf numFmtId="44" fontId="1" fillId="2" borderId="1" xfId="1" applyFont="1" applyFill="1" applyBorder="1"/>
    <xf numFmtId="44" fontId="5" fillId="2" borderId="1" xfId="1" applyFont="1" applyFill="1" applyBorder="1"/>
    <xf numFmtId="2" fontId="1" fillId="2" borderId="3" xfId="0" applyNumberFormat="1" applyFont="1" applyFill="1" applyBorder="1"/>
    <xf numFmtId="0" fontId="0" fillId="4" borderId="1" xfId="0" applyFill="1" applyBorder="1"/>
    <xf numFmtId="0" fontId="0" fillId="4" borderId="0" xfId="0" applyFill="1"/>
    <xf numFmtId="0" fontId="3" fillId="4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11" fontId="0" fillId="4" borderId="0" xfId="0" applyNumberFormat="1" applyFill="1"/>
    <xf numFmtId="44" fontId="0" fillId="2" borderId="0" xfId="0" applyNumberFormat="1" applyFill="1"/>
    <xf numFmtId="168" fontId="0" fillId="2" borderId="0" xfId="2" applyNumberFormat="1" applyFont="1" applyFill="1"/>
    <xf numFmtId="1" fontId="0" fillId="2" borderId="0" xfId="0" applyNumberFormat="1" applyFill="1"/>
    <xf numFmtId="10" fontId="1" fillId="5" borderId="1" xfId="3" applyNumberFormat="1" applyFont="1" applyFill="1" applyBorder="1" applyAlignment="1">
      <alignment horizontal="center" vertical="center"/>
    </xf>
    <xf numFmtId="44" fontId="1" fillId="6" borderId="1" xfId="1" applyFont="1" applyFill="1" applyBorder="1" applyAlignment="1">
      <alignment horizontal="center"/>
    </xf>
    <xf numFmtId="169" fontId="1" fillId="6" borderId="1" xfId="0" applyNumberFormat="1" applyFont="1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3" fontId="0" fillId="0" borderId="0" xfId="2" applyFont="1"/>
    <xf numFmtId="43" fontId="0" fillId="0" borderId="0" xfId="2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69" fontId="0" fillId="0" borderId="0" xfId="0" applyNumberFormat="1"/>
    <xf numFmtId="0" fontId="0" fillId="0" borderId="0" xfId="0" quotePrefix="1" applyAlignment="1">
      <alignment horizontal="center"/>
    </xf>
    <xf numFmtId="14" fontId="0" fillId="0" borderId="0" xfId="0" applyNumberFormat="1"/>
    <xf numFmtId="0" fontId="0" fillId="2" borderId="1" xfId="0" applyFill="1" applyBorder="1" applyAlignment="1">
      <alignment horizontal="center" vertical="center"/>
    </xf>
    <xf numFmtId="44" fontId="0" fillId="0" borderId="0" xfId="0" applyNumberFormat="1"/>
    <xf numFmtId="0" fontId="0" fillId="2" borderId="1" xfId="0" applyFill="1" applyBorder="1"/>
    <xf numFmtId="165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0" fillId="2" borderId="7" xfId="0" applyFill="1" applyBorder="1"/>
    <xf numFmtId="0" fontId="0" fillId="2" borderId="8" xfId="0" applyFill="1" applyBorder="1" applyAlignment="1">
      <alignment horizontal="center" vertical="center"/>
    </xf>
    <xf numFmtId="166" fontId="0" fillId="2" borderId="9" xfId="1" applyNumberFormat="1" applyFont="1" applyFill="1" applyBorder="1"/>
    <xf numFmtId="166" fontId="0" fillId="4" borderId="11" xfId="1" applyNumberFormat="1" applyFont="1" applyFill="1" applyBorder="1"/>
    <xf numFmtId="170" fontId="0" fillId="4" borderId="14" xfId="1" applyNumberFormat="1" applyFont="1" applyFill="1" applyBorder="1"/>
    <xf numFmtId="0" fontId="1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6" fontId="0" fillId="4" borderId="9" xfId="1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12" xfId="0" applyFill="1" applyBorder="1"/>
    <xf numFmtId="0" fontId="0" fillId="2" borderId="13" xfId="0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4" borderId="9" xfId="0" applyFill="1" applyBorder="1"/>
    <xf numFmtId="0" fontId="0" fillId="2" borderId="10" xfId="0" applyFill="1" applyBorder="1"/>
    <xf numFmtId="0" fontId="0" fillId="4" borderId="11" xfId="0" applyFill="1" applyBorder="1"/>
    <xf numFmtId="0" fontId="0" fillId="4" borderId="14" xfId="0" applyFill="1" applyBorder="1"/>
    <xf numFmtId="44" fontId="0" fillId="4" borderId="11" xfId="1" applyFont="1" applyFill="1" applyBorder="1"/>
    <xf numFmtId="0" fontId="0" fillId="6" borderId="11" xfId="0" applyFill="1" applyBorder="1"/>
    <xf numFmtId="0" fontId="0" fillId="4" borderId="13" xfId="0" applyFill="1" applyBorder="1"/>
    <xf numFmtId="0" fontId="0" fillId="4" borderId="8" xfId="0" applyFill="1" applyBorder="1"/>
    <xf numFmtId="164" fontId="0" fillId="4" borderId="11" xfId="1" applyNumberFormat="1" applyFont="1" applyFill="1" applyBorder="1"/>
    <xf numFmtId="44" fontId="0" fillId="4" borderId="14" xfId="1" applyFont="1" applyFill="1" applyBorder="1"/>
    <xf numFmtId="0" fontId="0" fillId="2" borderId="10" xfId="0" applyFill="1" applyBorder="1" applyAlignment="1">
      <alignment horizontal="center" vertical="center"/>
    </xf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44" fontId="0" fillId="4" borderId="6" xfId="1" applyFont="1" applyFill="1" applyBorder="1"/>
    <xf numFmtId="44" fontId="0" fillId="2" borderId="1" xfId="0" applyNumberFormat="1" applyFill="1" applyBorder="1"/>
    <xf numFmtId="2" fontId="1" fillId="2" borderId="4" xfId="0" applyNumberFormat="1" applyFont="1" applyFill="1" applyBorder="1"/>
    <xf numFmtId="0" fontId="1" fillId="3" borderId="4" xfId="0" applyFont="1" applyFill="1" applyBorder="1" applyAlignment="1">
      <alignment horizontal="center" vertical="center"/>
    </xf>
    <xf numFmtId="2" fontId="1" fillId="2" borderId="19" xfId="0" applyNumberFormat="1" applyFont="1" applyFill="1" applyBorder="1"/>
    <xf numFmtId="44" fontId="5" fillId="2" borderId="20" xfId="1" applyFont="1" applyFill="1" applyBorder="1"/>
    <xf numFmtId="0" fontId="1" fillId="3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44" fontId="0" fillId="2" borderId="22" xfId="1" applyFont="1" applyFill="1" applyBorder="1"/>
    <xf numFmtId="44" fontId="0" fillId="2" borderId="0" xfId="1" applyFont="1" applyFill="1" applyBorder="1"/>
    <xf numFmtId="44" fontId="0" fillId="2" borderId="20" xfId="1" applyFont="1" applyFill="1" applyBorder="1"/>
    <xf numFmtId="44" fontId="0" fillId="2" borderId="23" xfId="1" applyFont="1" applyFill="1" applyBorder="1"/>
    <xf numFmtId="44" fontId="0" fillId="2" borderId="24" xfId="1" applyFont="1" applyFill="1" applyBorder="1"/>
    <xf numFmtId="44" fontId="0" fillId="2" borderId="25" xfId="1" applyFont="1" applyFill="1" applyBorder="1"/>
    <xf numFmtId="1" fontId="1" fillId="2" borderId="4" xfId="0" applyNumberFormat="1" applyFont="1" applyFill="1" applyBorder="1"/>
    <xf numFmtId="0" fontId="1" fillId="2" borderId="6" xfId="0" applyFont="1" applyFill="1" applyBorder="1"/>
    <xf numFmtId="44" fontId="12" fillId="4" borderId="1" xfId="1" applyFont="1" applyFill="1" applyBorder="1" applyAlignment="1">
      <alignment horizontal="center"/>
    </xf>
    <xf numFmtId="44" fontId="0" fillId="0" borderId="1" xfId="0" applyNumberFormat="1" applyBorder="1"/>
    <xf numFmtId="171" fontId="0" fillId="0" borderId="1" xfId="3" applyNumberFormat="1" applyFont="1" applyBorder="1"/>
    <xf numFmtId="44" fontId="0" fillId="0" borderId="1" xfId="1" applyFont="1" applyBorder="1"/>
    <xf numFmtId="44" fontId="0" fillId="2" borderId="6" xfId="1" applyFont="1" applyFill="1" applyBorder="1"/>
    <xf numFmtId="0" fontId="0" fillId="0" borderId="0" xfId="0" applyAlignment="1">
      <alignment horizontal="center" wrapText="1"/>
    </xf>
    <xf numFmtId="9" fontId="0" fillId="0" borderId="0" xfId="3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172" fontId="0" fillId="4" borderId="9" xfId="1" applyNumberFormat="1" applyFont="1" applyFill="1" applyBorder="1"/>
    <xf numFmtId="172" fontId="0" fillId="4" borderId="11" xfId="1" applyNumberFormat="1" applyFont="1" applyFill="1" applyBorder="1"/>
    <xf numFmtId="44" fontId="0" fillId="4" borderId="1" xfId="1" applyFont="1" applyFill="1" applyBorder="1" applyAlignment="1">
      <alignment horizontal="center" vertical="center"/>
    </xf>
    <xf numFmtId="44" fontId="0" fillId="4" borderId="1" xfId="1" applyFont="1" applyFill="1" applyBorder="1"/>
    <xf numFmtId="0" fontId="0" fillId="2" borderId="1" xfId="0" applyFill="1" applyBorder="1" applyAlignment="1">
      <alignment horizontal="center" wrapText="1"/>
    </xf>
    <xf numFmtId="44" fontId="0" fillId="2" borderId="1" xfId="1" applyFont="1" applyFill="1" applyBorder="1" applyAlignment="1">
      <alignment horizontal="center" vertical="center"/>
    </xf>
    <xf numFmtId="44" fontId="0" fillId="2" borderId="1" xfId="1" applyFont="1" applyFill="1" applyBorder="1"/>
    <xf numFmtId="0" fontId="0" fillId="2" borderId="15" xfId="0" applyFill="1" applyBorder="1" applyAlignment="1">
      <alignment horizontal="center" vertical="center"/>
    </xf>
    <xf numFmtId="168" fontId="0" fillId="2" borderId="1" xfId="2" applyNumberFormat="1" applyFont="1" applyFill="1" applyBorder="1"/>
    <xf numFmtId="44" fontId="6" fillId="2" borderId="20" xfId="1" applyFont="1" applyFill="1" applyBorder="1"/>
    <xf numFmtId="172" fontId="0" fillId="0" borderId="0" xfId="1" applyNumberFormat="1" applyFont="1"/>
    <xf numFmtId="0" fontId="0" fillId="2" borderId="15" xfId="0" applyFill="1" applyBorder="1"/>
    <xf numFmtId="0" fontId="0" fillId="2" borderId="2" xfId="0" applyFill="1" applyBorder="1"/>
    <xf numFmtId="0" fontId="0" fillId="2" borderId="3" xfId="0" applyFill="1" applyBorder="1"/>
    <xf numFmtId="0" fontId="13" fillId="0" borderId="0" xfId="0" applyFont="1" applyAlignment="1">
      <alignment horizontal="center" vertical="center"/>
    </xf>
    <xf numFmtId="0" fontId="13" fillId="0" borderId="0" xfId="0" applyFont="1"/>
    <xf numFmtId="167" fontId="0" fillId="2" borderId="22" xfId="0" applyNumberFormat="1" applyFill="1" applyBorder="1"/>
    <xf numFmtId="167" fontId="0" fillId="2" borderId="23" xfId="0" applyNumberFormat="1" applyFill="1" applyBorder="1"/>
    <xf numFmtId="167" fontId="0" fillId="2" borderId="24" xfId="0" applyNumberFormat="1" applyFill="1" applyBorder="1"/>
    <xf numFmtId="44" fontId="0" fillId="2" borderId="24" xfId="0" applyNumberFormat="1" applyFill="1" applyBorder="1"/>
    <xf numFmtId="0" fontId="0" fillId="2" borderId="24" xfId="0" applyFill="1" applyBorder="1"/>
    <xf numFmtId="0" fontId="16" fillId="0" borderId="0" xfId="0" applyFont="1"/>
    <xf numFmtId="0" fontId="17" fillId="2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3" fontId="19" fillId="0" borderId="0" xfId="0" applyNumberFormat="1" applyFont="1" applyAlignment="1">
      <alignment horizontal="center" vertical="center"/>
    </xf>
    <xf numFmtId="44" fontId="20" fillId="0" borderId="0" xfId="1" applyFont="1"/>
    <xf numFmtId="44" fontId="21" fillId="0" borderId="0" xfId="1" applyFont="1" applyAlignment="1">
      <alignment horizontal="center" vertical="center"/>
    </xf>
    <xf numFmtId="173" fontId="16" fillId="0" borderId="0" xfId="0" applyNumberFormat="1" applyFont="1"/>
    <xf numFmtId="44" fontId="23" fillId="0" borderId="0" xfId="1" applyFont="1"/>
    <xf numFmtId="44" fontId="16" fillId="0" borderId="0" xfId="0" applyNumberFormat="1" applyFont="1"/>
    <xf numFmtId="0" fontId="16" fillId="0" borderId="0" xfId="0" quotePrefix="1" applyFont="1"/>
    <xf numFmtId="44" fontId="21" fillId="0" borderId="0" xfId="1" applyFont="1"/>
    <xf numFmtId="0" fontId="24" fillId="8" borderId="0" xfId="0" applyFont="1" applyFill="1" applyAlignment="1">
      <alignment horizontal="left" vertical="top" wrapText="1"/>
    </xf>
    <xf numFmtId="44" fontId="17" fillId="0" borderId="0" xfId="1" applyFont="1"/>
    <xf numFmtId="44" fontId="14" fillId="0" borderId="0" xfId="1" applyFont="1"/>
    <xf numFmtId="173" fontId="19" fillId="6" borderId="1" xfId="0" applyNumberFormat="1" applyFont="1" applyFill="1" applyBorder="1" applyAlignment="1">
      <alignment horizontal="center" vertical="center"/>
    </xf>
    <xf numFmtId="44" fontId="21" fillId="6" borderId="1" xfId="0" applyNumberFormat="1" applyFont="1" applyFill="1" applyBorder="1"/>
    <xf numFmtId="10" fontId="19" fillId="0" borderId="0" xfId="3" applyNumberFormat="1" applyFont="1"/>
    <xf numFmtId="44" fontId="25" fillId="0" borderId="0" xfId="1" applyFont="1"/>
    <xf numFmtId="44" fontId="14" fillId="0" borderId="0" xfId="1" applyFont="1" applyFill="1"/>
    <xf numFmtId="44" fontId="25" fillId="0" borderId="0" xfId="1" applyFont="1" applyFill="1"/>
    <xf numFmtId="0" fontId="26" fillId="0" borderId="0" xfId="0" applyFont="1"/>
    <xf numFmtId="44" fontId="25" fillId="0" borderId="0" xfId="0" applyNumberFormat="1" applyFont="1"/>
    <xf numFmtId="10" fontId="19" fillId="6" borderId="1" xfId="3" applyNumberFormat="1" applyFont="1" applyFill="1" applyBorder="1"/>
    <xf numFmtId="44" fontId="25" fillId="6" borderId="1" xfId="0" applyNumberFormat="1" applyFont="1" applyFill="1" applyBorder="1"/>
    <xf numFmtId="8" fontId="17" fillId="6" borderId="1" xfId="0" applyNumberFormat="1" applyFont="1" applyFill="1" applyBorder="1"/>
    <xf numFmtId="9" fontId="16" fillId="0" borderId="0" xfId="3" applyFont="1"/>
    <xf numFmtId="44" fontId="26" fillId="0" borderId="0" xfId="1" applyFont="1" applyFill="1"/>
    <xf numFmtId="44" fontId="26" fillId="0" borderId="0" xfId="1" applyFont="1"/>
    <xf numFmtId="173" fontId="27" fillId="6" borderId="1" xfId="0" applyNumberFormat="1" applyFont="1" applyFill="1" applyBorder="1" applyAlignment="1">
      <alignment horizontal="center" vertical="center"/>
    </xf>
    <xf numFmtId="10" fontId="27" fillId="6" borderId="1" xfId="3" applyNumberFormat="1" applyFont="1" applyFill="1" applyBorder="1"/>
    <xf numFmtId="173" fontId="20" fillId="0" borderId="0" xfId="0" applyNumberFormat="1" applyFont="1" applyAlignment="1">
      <alignment horizontal="center" vertical="center"/>
    </xf>
    <xf numFmtId="9" fontId="22" fillId="0" borderId="0" xfId="0" applyNumberFormat="1" applyFont="1"/>
    <xf numFmtId="173" fontId="25" fillId="6" borderId="1" xfId="2" applyNumberFormat="1" applyFont="1" applyFill="1" applyBorder="1"/>
    <xf numFmtId="0" fontId="28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44" fontId="26" fillId="2" borderId="0" xfId="1" applyFont="1" applyFill="1"/>
    <xf numFmtId="44" fontId="23" fillId="2" borderId="0" xfId="1" applyFont="1" applyFill="1"/>
    <xf numFmtId="44" fontId="14" fillId="2" borderId="0" xfId="1" applyFont="1" applyFill="1"/>
    <xf numFmtId="44" fontId="15" fillId="2" borderId="1" xfId="1" applyFont="1" applyFill="1" applyBorder="1"/>
    <xf numFmtId="0" fontId="15" fillId="2" borderId="1" xfId="0" applyFont="1" applyFill="1" applyBorder="1" applyAlignment="1">
      <alignment horizontal="center" vertical="center"/>
    </xf>
    <xf numFmtId="2" fontId="12" fillId="4" borderId="1" xfId="1" applyNumberFormat="1" applyFont="1" applyFill="1" applyBorder="1" applyAlignment="1">
      <alignment horizontal="center"/>
    </xf>
    <xf numFmtId="1" fontId="12" fillId="4" borderId="1" xfId="1" applyNumberFormat="1" applyFont="1" applyFill="1" applyBorder="1" applyAlignment="1">
      <alignment horizontal="center"/>
    </xf>
    <xf numFmtId="0" fontId="16" fillId="2" borderId="0" xfId="0" applyFont="1" applyFill="1"/>
    <xf numFmtId="173" fontId="16" fillId="2" borderId="0" xfId="0" applyNumberFormat="1" applyFont="1" applyFill="1"/>
    <xf numFmtId="0" fontId="16" fillId="2" borderId="0" xfId="0" quotePrefix="1" applyFont="1" applyFill="1"/>
    <xf numFmtId="44" fontId="4" fillId="2" borderId="4" xfId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4" fontId="6" fillId="6" borderId="20" xfId="1" applyFont="1" applyFill="1" applyBorder="1"/>
    <xf numFmtId="0" fontId="30" fillId="0" borderId="0" xfId="0" applyFont="1" applyAlignment="1">
      <alignment horizontal="center" vertical="center"/>
    </xf>
    <xf numFmtId="171" fontId="0" fillId="2" borderId="1" xfId="3" applyNumberFormat="1" applyFont="1" applyFill="1" applyBorder="1"/>
    <xf numFmtId="9" fontId="0" fillId="2" borderId="6" xfId="3" applyFont="1" applyFill="1" applyBorder="1"/>
    <xf numFmtId="0" fontId="31" fillId="2" borderId="0" xfId="0" applyFont="1" applyFill="1"/>
    <xf numFmtId="9" fontId="31" fillId="2" borderId="0" xfId="3" applyFont="1" applyFill="1"/>
    <xf numFmtId="9" fontId="31" fillId="2" borderId="0" xfId="0" applyNumberFormat="1" applyFont="1" applyFill="1"/>
    <xf numFmtId="9" fontId="20" fillId="4" borderId="1" xfId="0" applyNumberFormat="1" applyFont="1" applyFill="1" applyBorder="1"/>
    <xf numFmtId="0" fontId="15" fillId="4" borderId="1" xfId="0" applyFont="1" applyFill="1" applyBorder="1" applyAlignment="1">
      <alignment horizontal="center" vertical="center"/>
    </xf>
    <xf numFmtId="0" fontId="0" fillId="2" borderId="4" xfId="0" applyFill="1" applyBorder="1"/>
    <xf numFmtId="44" fontId="0" fillId="2" borderId="5" xfId="0" applyNumberFormat="1" applyFill="1" applyBorder="1"/>
    <xf numFmtId="0" fontId="0" fillId="2" borderId="5" xfId="0" applyFill="1" applyBorder="1"/>
    <xf numFmtId="44" fontId="15" fillId="2" borderId="1" xfId="0" applyNumberFormat="1" applyFont="1" applyFill="1" applyBorder="1"/>
    <xf numFmtId="2" fontId="0" fillId="0" borderId="0" xfId="0" applyNumberFormat="1"/>
    <xf numFmtId="0" fontId="16" fillId="2" borderId="8" xfId="0" applyFont="1" applyFill="1" applyBorder="1"/>
    <xf numFmtId="2" fontId="0" fillId="4" borderId="11" xfId="1" applyNumberFormat="1" applyFont="1" applyFill="1" applyBorder="1"/>
    <xf numFmtId="43" fontId="0" fillId="4" borderId="0" xfId="2" applyFont="1" applyFill="1" applyBorder="1"/>
    <xf numFmtId="43" fontId="0" fillId="2" borderId="10" xfId="2" applyFont="1" applyFill="1" applyBorder="1"/>
    <xf numFmtId="43" fontId="0" fillId="2" borderId="0" xfId="2" applyFont="1" applyFill="1" applyBorder="1"/>
    <xf numFmtId="43" fontId="0" fillId="2" borderId="11" xfId="2" applyFont="1" applyFill="1" applyBorder="1"/>
    <xf numFmtId="43" fontId="0" fillId="2" borderId="12" xfId="2" applyFont="1" applyFill="1" applyBorder="1"/>
    <xf numFmtId="43" fontId="0" fillId="2" borderId="13" xfId="2" applyFont="1" applyFill="1" applyBorder="1"/>
    <xf numFmtId="43" fontId="0" fillId="2" borderId="14" xfId="2" applyFont="1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43" fontId="0" fillId="2" borderId="4" xfId="2" applyFont="1" applyFill="1" applyBorder="1"/>
    <xf numFmtId="43" fontId="0" fillId="2" borderId="5" xfId="2" applyFont="1" applyFill="1" applyBorder="1"/>
    <xf numFmtId="43" fontId="0" fillId="2" borderId="6" xfId="2" applyFont="1" applyFill="1" applyBorder="1"/>
    <xf numFmtId="44" fontId="0" fillId="2" borderId="0" xfId="1" applyFont="1" applyFill="1"/>
    <xf numFmtId="9" fontId="0" fillId="0" borderId="0" xfId="0" applyNumberFormat="1"/>
    <xf numFmtId="9" fontId="0" fillId="2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44" fontId="0" fillId="4" borderId="0" xfId="1" applyFont="1" applyFill="1"/>
    <xf numFmtId="0" fontId="0" fillId="0" borderId="0" xfId="0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center" vertical="center"/>
    </xf>
    <xf numFmtId="172" fontId="0" fillId="2" borderId="1" xfId="0" applyNumberFormat="1" applyFill="1" applyBorder="1"/>
    <xf numFmtId="172" fontId="0" fillId="0" borderId="0" xfId="0" applyNumberFormat="1"/>
    <xf numFmtId="172" fontId="32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 vertical="center" textRotation="255"/>
    </xf>
    <xf numFmtId="0" fontId="15" fillId="2" borderId="2" xfId="0" applyFont="1" applyFill="1" applyBorder="1" applyAlignment="1">
      <alignment horizontal="center" vertical="center" textRotation="255"/>
    </xf>
    <xf numFmtId="0" fontId="15" fillId="2" borderId="3" xfId="0" applyFont="1" applyFill="1" applyBorder="1" applyAlignment="1">
      <alignment horizontal="center" vertical="center" textRotation="255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15" fillId="2" borderId="4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9" fillId="2" borderId="15" xfId="0" applyFont="1" applyFill="1" applyBorder="1" applyAlignment="1">
      <alignment horizontal="center" vertical="center" textRotation="255" wrapText="1"/>
    </xf>
    <xf numFmtId="0" fontId="29" fillId="2" borderId="2" xfId="0" applyFont="1" applyFill="1" applyBorder="1" applyAlignment="1">
      <alignment horizontal="center" vertical="center" textRotation="255" wrapText="1"/>
    </xf>
    <xf numFmtId="0" fontId="29" fillId="2" borderId="3" xfId="0" applyFont="1" applyFill="1" applyBorder="1" applyAlignment="1">
      <alignment horizontal="center" vertical="center" textRotation="255" wrapText="1"/>
    </xf>
    <xf numFmtId="0" fontId="29" fillId="2" borderId="15" xfId="0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/>
    </xf>
  </cellXfs>
  <cellStyles count="4">
    <cellStyle name="Migliaia" xfId="2" builtinId="3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244CE-F953-4B90-820A-A0DA765CA0D4}">
  <sheetPr>
    <tabColor theme="8" tint="0.79998168889431442"/>
  </sheetPr>
  <dimension ref="A1:V27"/>
  <sheetViews>
    <sheetView zoomScale="85" zoomScaleNormal="85" workbookViewId="0">
      <pane xSplit="1" ySplit="4" topLeftCell="E5" activePane="bottomRight" state="frozen"/>
      <selection pane="topRight" activeCell="C1" sqref="C1"/>
      <selection pane="bottomLeft" activeCell="A5" sqref="A5"/>
      <selection pane="bottomRight" activeCell="P10" sqref="P10"/>
    </sheetView>
  </sheetViews>
  <sheetFormatPr defaultRowHeight="14.4" outlineLevelCol="1" x14ac:dyDescent="0.3"/>
  <cols>
    <col min="1" max="1" width="25.88671875" bestFit="1" customWidth="1"/>
    <col min="2" max="2" width="17.5546875" customWidth="1"/>
    <col min="3" max="3" width="19.6640625" bestFit="1" customWidth="1"/>
    <col min="4" max="4" width="8.44140625" bestFit="1" customWidth="1"/>
    <col min="5" max="5" width="8.44140625" customWidth="1"/>
    <col min="6" max="6" width="15.44140625" customWidth="1"/>
    <col min="7" max="8" width="14" customWidth="1"/>
    <col min="9" max="9" width="10.44140625" customWidth="1" outlineLevel="1"/>
    <col min="10" max="10" width="13.44140625" customWidth="1" outlineLevel="1"/>
    <col min="11" max="11" width="11.33203125" customWidth="1" outlineLevel="1"/>
    <col min="12" max="12" width="14.6640625" customWidth="1" outlineLevel="1"/>
    <col min="13" max="13" width="14" customWidth="1" outlineLevel="1"/>
    <col min="14" max="16" width="13.33203125" customWidth="1" outlineLevel="1"/>
    <col min="17" max="17" width="15.88671875" customWidth="1" outlineLevel="1"/>
  </cols>
  <sheetData>
    <row r="1" spans="1:22" ht="18" x14ac:dyDescent="0.35">
      <c r="B1" s="211" t="s">
        <v>40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3"/>
    </row>
    <row r="2" spans="1:22" x14ac:dyDescent="0.3">
      <c r="B2" s="214" t="s">
        <v>33</v>
      </c>
      <c r="C2" s="215"/>
      <c r="D2" s="215"/>
      <c r="E2" s="215"/>
      <c r="F2" s="215"/>
      <c r="G2" s="215"/>
      <c r="H2" s="216"/>
      <c r="K2" s="214" t="s">
        <v>36</v>
      </c>
      <c r="L2" s="215"/>
      <c r="M2" s="215"/>
      <c r="N2" s="215"/>
      <c r="O2" s="215"/>
      <c r="P2" s="215"/>
      <c r="Q2" s="216"/>
    </row>
    <row r="3" spans="1:22" x14ac:dyDescent="0.3">
      <c r="D3" s="214" t="s">
        <v>44</v>
      </c>
      <c r="E3" s="216"/>
      <c r="G3" s="20">
        <f>SUBTOTAL(9,G5:G27)</f>
        <v>59.570075669444442</v>
      </c>
      <c r="H3" s="20">
        <f>SUBTOTAL(9,H5:H27)</f>
        <v>53.613068102499987</v>
      </c>
      <c r="I3" s="1">
        <f>+'COST DATA'!D3</f>
        <v>2500</v>
      </c>
      <c r="J3" s="1">
        <f>+'COST DATA'!D4</f>
        <v>0.9</v>
      </c>
      <c r="K3" s="14">
        <f>+'COST DATA'!D9</f>
        <v>0.50772709939119998</v>
      </c>
      <c r="L3" s="14">
        <f>+'COST DATA'!D12</f>
        <v>6.7889999999999999E-3</v>
      </c>
      <c r="M3" s="13">
        <f>+'COST DATA'!D13</f>
        <v>0.15750000000000003</v>
      </c>
      <c r="N3" s="15">
        <f>+'COST DATA'!D14</f>
        <v>5.8880308880308881E-2</v>
      </c>
      <c r="O3" s="15">
        <f>+'COST DATA'!D17</f>
        <v>0.11592129275425681</v>
      </c>
      <c r="Q3" s="15">
        <f>+'COST DATA'!D15</f>
        <v>1.1153786109999999</v>
      </c>
      <c r="V3" s="45">
        <f>SUM(V5:V28)</f>
        <v>2215</v>
      </c>
    </row>
    <row r="4" spans="1:22" x14ac:dyDescent="0.3">
      <c r="A4" s="1" t="s">
        <v>0</v>
      </c>
      <c r="B4" s="1" t="s">
        <v>4</v>
      </c>
      <c r="C4" s="1" t="s">
        <v>5</v>
      </c>
      <c r="D4" s="1" t="s">
        <v>45</v>
      </c>
      <c r="E4" s="1" t="s">
        <v>57</v>
      </c>
      <c r="F4" s="1" t="s">
        <v>6</v>
      </c>
      <c r="G4" s="1" t="s">
        <v>2</v>
      </c>
      <c r="H4" s="1" t="s">
        <v>7</v>
      </c>
      <c r="I4" s="1" t="s">
        <v>31</v>
      </c>
      <c r="J4" s="1" t="s">
        <v>8</v>
      </c>
      <c r="K4" s="1" t="s">
        <v>34</v>
      </c>
      <c r="L4" s="1" t="s">
        <v>394</v>
      </c>
      <c r="M4" s="1" t="s">
        <v>424</v>
      </c>
      <c r="N4" s="1" t="s">
        <v>425</v>
      </c>
      <c r="O4" s="1" t="s">
        <v>111</v>
      </c>
      <c r="P4" s="1" t="s">
        <v>112</v>
      </c>
      <c r="Q4" s="1" t="s">
        <v>84</v>
      </c>
      <c r="R4" s="210" t="s">
        <v>58</v>
      </c>
      <c r="S4" s="210"/>
      <c r="T4" s="210"/>
      <c r="U4" s="210"/>
      <c r="V4" s="210"/>
    </row>
    <row r="5" spans="1:22" x14ac:dyDescent="0.3">
      <c r="A5" s="22" t="s">
        <v>1</v>
      </c>
      <c r="B5" s="25">
        <v>8</v>
      </c>
      <c r="C5" s="25">
        <v>10</v>
      </c>
      <c r="D5" s="22">
        <v>1.22</v>
      </c>
      <c r="E5" s="28">
        <f>+V5</f>
        <v>82</v>
      </c>
      <c r="F5" s="22">
        <v>7.9769999999999997E-3</v>
      </c>
      <c r="G5" s="6">
        <f t="shared" ref="G5:G27" si="0">H5/$J$3</f>
        <v>22.158333333333331</v>
      </c>
      <c r="H5" s="6">
        <f t="shared" ref="H5:H27" si="1">PRODUCT(F5*$I$3)</f>
        <v>19.942499999999999</v>
      </c>
      <c r="P5" s="74">
        <f>+'COST DATA'!D20</f>
        <v>150</v>
      </c>
      <c r="R5" s="4">
        <v>1</v>
      </c>
      <c r="S5" s="4">
        <v>60</v>
      </c>
      <c r="T5" s="4">
        <f>+R5*S5</f>
        <v>60</v>
      </c>
      <c r="U5" s="22">
        <v>22</v>
      </c>
      <c r="V5" s="4">
        <f>+T5+U5</f>
        <v>82</v>
      </c>
    </row>
    <row r="6" spans="1:22" x14ac:dyDescent="0.3">
      <c r="A6" s="22" t="s">
        <v>3</v>
      </c>
      <c r="B6" s="25">
        <v>4</v>
      </c>
      <c r="C6" s="25">
        <v>2</v>
      </c>
      <c r="D6" s="22">
        <v>5.21</v>
      </c>
      <c r="E6" s="29">
        <f>+V6</f>
        <v>321</v>
      </c>
      <c r="F6" s="22">
        <v>6.0029599999999995E-4</v>
      </c>
      <c r="G6" s="6">
        <f t="shared" si="0"/>
        <v>1.6674888888888888</v>
      </c>
      <c r="H6" s="6">
        <f t="shared" si="1"/>
        <v>1.50074</v>
      </c>
      <c r="R6" s="4">
        <v>5</v>
      </c>
      <c r="S6" s="4">
        <v>60</v>
      </c>
      <c r="T6" s="4">
        <f>+R6*S6</f>
        <v>300</v>
      </c>
      <c r="U6" s="22">
        <v>21</v>
      </c>
      <c r="V6" s="4">
        <f>+T6+U6</f>
        <v>321</v>
      </c>
    </row>
    <row r="7" spans="1:22" x14ac:dyDescent="0.3">
      <c r="A7" s="22" t="s">
        <v>9</v>
      </c>
      <c r="B7" s="25">
        <v>4</v>
      </c>
      <c r="C7" s="25">
        <v>2</v>
      </c>
      <c r="D7" s="22">
        <v>5.15</v>
      </c>
      <c r="E7" s="29">
        <f t="shared" ref="E7:E27" si="2">+V7</f>
        <v>315</v>
      </c>
      <c r="F7" s="22">
        <v>8.005105E-4</v>
      </c>
      <c r="G7" s="6">
        <f t="shared" si="0"/>
        <v>2.2236402777777777</v>
      </c>
      <c r="H7" s="6">
        <f t="shared" si="1"/>
        <v>2.0012762500000001</v>
      </c>
      <c r="R7" s="4">
        <v>5</v>
      </c>
      <c r="S7" s="4">
        <v>60</v>
      </c>
      <c r="T7" s="4">
        <f t="shared" ref="T7:T27" si="3">+R7*S7</f>
        <v>300</v>
      </c>
      <c r="U7" s="22">
        <v>15</v>
      </c>
      <c r="V7" s="4">
        <f t="shared" ref="V7:V27" si="4">+T7+U7</f>
        <v>315</v>
      </c>
    </row>
    <row r="8" spans="1:22" x14ac:dyDescent="0.3">
      <c r="A8" s="22" t="s">
        <v>10</v>
      </c>
      <c r="B8" s="25">
        <v>4</v>
      </c>
      <c r="C8" s="25">
        <v>2</v>
      </c>
      <c r="D8" s="22">
        <v>4.4800000000000004</v>
      </c>
      <c r="E8" s="29">
        <f t="shared" si="2"/>
        <v>288</v>
      </c>
      <c r="F8" s="22">
        <v>8.2321687099999998E-4</v>
      </c>
      <c r="G8" s="6">
        <f t="shared" si="0"/>
        <v>2.2867135305555553</v>
      </c>
      <c r="H8" s="6">
        <f t="shared" si="1"/>
        <v>2.0580421775</v>
      </c>
      <c r="R8" s="4">
        <v>4</v>
      </c>
      <c r="S8" s="4">
        <v>60</v>
      </c>
      <c r="T8" s="4">
        <f t="shared" si="3"/>
        <v>240</v>
      </c>
      <c r="U8" s="22">
        <v>48</v>
      </c>
      <c r="V8" s="4">
        <f t="shared" si="4"/>
        <v>288</v>
      </c>
    </row>
    <row r="9" spans="1:22" x14ac:dyDescent="0.3">
      <c r="A9" s="22" t="s">
        <v>11</v>
      </c>
      <c r="B9" s="25">
        <v>10</v>
      </c>
      <c r="C9" s="25">
        <v>10</v>
      </c>
      <c r="D9" s="22">
        <v>0.42</v>
      </c>
      <c r="E9" s="29">
        <f t="shared" si="2"/>
        <v>42</v>
      </c>
      <c r="F9" s="22">
        <v>3.5606798E-3</v>
      </c>
      <c r="G9" s="6">
        <f t="shared" si="0"/>
        <v>9.890777222222221</v>
      </c>
      <c r="H9" s="6">
        <f t="shared" si="1"/>
        <v>8.9016994999999994</v>
      </c>
      <c r="R9" s="4">
        <v>0</v>
      </c>
      <c r="S9" s="4">
        <v>60</v>
      </c>
      <c r="T9" s="4">
        <f t="shared" si="3"/>
        <v>0</v>
      </c>
      <c r="U9" s="22">
        <v>42</v>
      </c>
      <c r="V9" s="4">
        <f t="shared" si="4"/>
        <v>42</v>
      </c>
    </row>
    <row r="10" spans="1:22" x14ac:dyDescent="0.3">
      <c r="A10" s="22" t="s">
        <v>24</v>
      </c>
      <c r="B10" s="25">
        <v>8</v>
      </c>
      <c r="C10" s="25">
        <v>10</v>
      </c>
      <c r="D10" s="22">
        <v>1.39</v>
      </c>
      <c r="E10" s="29">
        <f t="shared" si="2"/>
        <v>99</v>
      </c>
      <c r="F10" s="22">
        <v>1.7366300000000001E-3</v>
      </c>
      <c r="G10" s="6">
        <f t="shared" si="0"/>
        <v>4.8239722222222232</v>
      </c>
      <c r="H10" s="6">
        <f t="shared" si="1"/>
        <v>4.3415750000000006</v>
      </c>
      <c r="P10" s="74">
        <f>+'COST DATA'!D21+'COST DATA'!D22+'COST DATA'!D23</f>
        <v>24</v>
      </c>
      <c r="R10" s="4">
        <v>1</v>
      </c>
      <c r="S10" s="4">
        <v>60</v>
      </c>
      <c r="T10" s="4">
        <f t="shared" si="3"/>
        <v>60</v>
      </c>
      <c r="U10" s="22">
        <v>39</v>
      </c>
      <c r="V10" s="4">
        <f t="shared" si="4"/>
        <v>99</v>
      </c>
    </row>
    <row r="11" spans="1:22" x14ac:dyDescent="0.3">
      <c r="A11" s="22" t="s">
        <v>25</v>
      </c>
      <c r="B11" s="25">
        <v>5</v>
      </c>
      <c r="C11" s="25">
        <v>10</v>
      </c>
      <c r="D11" s="22">
        <v>1.1499999999999999</v>
      </c>
      <c r="E11" s="29">
        <f t="shared" si="2"/>
        <v>75</v>
      </c>
      <c r="F11" s="22">
        <v>8.1557296000000004E-4</v>
      </c>
      <c r="G11" s="6">
        <f t="shared" si="0"/>
        <v>2.2654804444444445</v>
      </c>
      <c r="H11" s="6">
        <f t="shared" si="1"/>
        <v>2.0389324000000002</v>
      </c>
      <c r="P11" s="74">
        <f>+'COST DATA'!D21+'COST DATA'!D22+'COST DATA'!D23</f>
        <v>24</v>
      </c>
      <c r="R11" s="4">
        <v>1</v>
      </c>
      <c r="S11" s="4">
        <v>60</v>
      </c>
      <c r="T11" s="4">
        <f t="shared" si="3"/>
        <v>60</v>
      </c>
      <c r="U11" s="22">
        <v>15</v>
      </c>
      <c r="V11" s="4">
        <f t="shared" si="4"/>
        <v>75</v>
      </c>
    </row>
    <row r="12" spans="1:22" x14ac:dyDescent="0.3">
      <c r="A12" s="22" t="s">
        <v>26</v>
      </c>
      <c r="B12" s="25">
        <v>5</v>
      </c>
      <c r="C12" s="25">
        <v>10</v>
      </c>
      <c r="D12" s="22">
        <v>0.39</v>
      </c>
      <c r="E12" s="29">
        <f t="shared" si="2"/>
        <v>39</v>
      </c>
      <c r="F12" s="22">
        <v>1.1639584900000001E-3</v>
      </c>
      <c r="G12" s="6">
        <f t="shared" si="0"/>
        <v>3.2332180277777778</v>
      </c>
      <c r="H12" s="6">
        <f t="shared" si="1"/>
        <v>2.9098962250000002</v>
      </c>
      <c r="R12" s="4">
        <v>0</v>
      </c>
      <c r="S12" s="4">
        <v>60</v>
      </c>
      <c r="T12" s="4">
        <f t="shared" si="3"/>
        <v>0</v>
      </c>
      <c r="U12" s="22">
        <v>39</v>
      </c>
      <c r="V12" s="4">
        <f t="shared" si="4"/>
        <v>39</v>
      </c>
    </row>
    <row r="13" spans="1:22" x14ac:dyDescent="0.3">
      <c r="A13" s="22" t="s">
        <v>27</v>
      </c>
      <c r="B13" s="25">
        <v>4</v>
      </c>
      <c r="C13" s="25">
        <v>5</v>
      </c>
      <c r="D13" s="22">
        <v>0.34</v>
      </c>
      <c r="E13" s="29">
        <f t="shared" si="2"/>
        <v>34</v>
      </c>
      <c r="F13" s="22">
        <v>2.3780405299999999E-4</v>
      </c>
      <c r="G13" s="6">
        <f t="shared" si="0"/>
        <v>0.66056681388888883</v>
      </c>
      <c r="H13" s="6">
        <f t="shared" si="1"/>
        <v>0.59451013249999995</v>
      </c>
      <c r="R13" s="4">
        <v>0</v>
      </c>
      <c r="S13" s="4">
        <v>60</v>
      </c>
      <c r="T13" s="4">
        <f t="shared" si="3"/>
        <v>0</v>
      </c>
      <c r="U13" s="22">
        <v>34</v>
      </c>
      <c r="V13" s="4">
        <f t="shared" si="4"/>
        <v>34</v>
      </c>
    </row>
    <row r="14" spans="1:22" x14ac:dyDescent="0.3">
      <c r="A14" s="22" t="s">
        <v>29</v>
      </c>
      <c r="B14" s="25">
        <v>4</v>
      </c>
      <c r="C14" s="25">
        <v>5</v>
      </c>
      <c r="D14" s="22">
        <v>1.31</v>
      </c>
      <c r="E14" s="29">
        <f t="shared" si="2"/>
        <v>91</v>
      </c>
      <c r="F14" s="22">
        <v>9.52764444E-4</v>
      </c>
      <c r="G14" s="6">
        <f t="shared" si="0"/>
        <v>2.6465679</v>
      </c>
      <c r="H14" s="6">
        <f t="shared" si="1"/>
        <v>2.3819111099999999</v>
      </c>
      <c r="R14" s="4">
        <v>1</v>
      </c>
      <c r="S14" s="4">
        <v>60</v>
      </c>
      <c r="T14" s="4">
        <f t="shared" si="3"/>
        <v>60</v>
      </c>
      <c r="U14" s="22">
        <v>31</v>
      </c>
      <c r="V14" s="4">
        <f t="shared" si="4"/>
        <v>91</v>
      </c>
    </row>
    <row r="15" spans="1:22" x14ac:dyDescent="0.3">
      <c r="A15" s="22" t="s">
        <v>13</v>
      </c>
      <c r="B15" s="25">
        <v>2</v>
      </c>
      <c r="C15" s="25">
        <v>2</v>
      </c>
      <c r="D15" s="22">
        <v>0.26</v>
      </c>
      <c r="E15" s="29">
        <f t="shared" si="2"/>
        <v>26</v>
      </c>
      <c r="F15" s="22">
        <v>1.6928511099999999E-4</v>
      </c>
      <c r="G15" s="6">
        <f t="shared" si="0"/>
        <v>0.47023641944444439</v>
      </c>
      <c r="H15" s="6">
        <f t="shared" si="1"/>
        <v>0.42321277749999997</v>
      </c>
      <c r="R15" s="4">
        <v>0</v>
      </c>
      <c r="S15" s="4">
        <v>60</v>
      </c>
      <c r="T15" s="4">
        <f t="shared" si="3"/>
        <v>0</v>
      </c>
      <c r="U15" s="22">
        <v>26</v>
      </c>
      <c r="V15" s="4">
        <f t="shared" si="4"/>
        <v>26</v>
      </c>
    </row>
    <row r="16" spans="1:22" x14ac:dyDescent="0.3">
      <c r="A16" s="22" t="s">
        <v>12</v>
      </c>
      <c r="B16" s="25">
        <v>2</v>
      </c>
      <c r="C16" s="25">
        <v>2</v>
      </c>
      <c r="D16" s="22">
        <v>0.25</v>
      </c>
      <c r="E16" s="29">
        <f t="shared" si="2"/>
        <v>25</v>
      </c>
      <c r="F16" s="22">
        <v>1.69285896E-4</v>
      </c>
      <c r="G16" s="6">
        <f t="shared" si="0"/>
        <v>0.47023859999999995</v>
      </c>
      <c r="H16" s="6">
        <f t="shared" si="1"/>
        <v>0.42321473999999998</v>
      </c>
      <c r="R16" s="4">
        <v>0</v>
      </c>
      <c r="S16" s="4">
        <v>60</v>
      </c>
      <c r="T16" s="4">
        <f t="shared" si="3"/>
        <v>0</v>
      </c>
      <c r="U16" s="22">
        <v>25</v>
      </c>
      <c r="V16" s="4">
        <f t="shared" si="4"/>
        <v>25</v>
      </c>
    </row>
    <row r="17" spans="1:22" x14ac:dyDescent="0.3">
      <c r="A17" s="22" t="s">
        <v>14</v>
      </c>
      <c r="B17" s="25">
        <v>2</v>
      </c>
      <c r="C17" s="25">
        <v>2</v>
      </c>
      <c r="D17" s="22">
        <v>0.56999999999999995</v>
      </c>
      <c r="E17" s="29">
        <f t="shared" si="2"/>
        <v>57</v>
      </c>
      <c r="F17" s="22">
        <v>3.69342133E-4</v>
      </c>
      <c r="G17" s="6">
        <f t="shared" si="0"/>
        <v>1.0259503694444445</v>
      </c>
      <c r="H17" s="6">
        <f t="shared" si="1"/>
        <v>0.92335533250000001</v>
      </c>
      <c r="R17" s="4">
        <v>0</v>
      </c>
      <c r="S17" s="4">
        <v>60</v>
      </c>
      <c r="T17" s="4">
        <f t="shared" si="3"/>
        <v>0</v>
      </c>
      <c r="U17" s="22">
        <v>57</v>
      </c>
      <c r="V17" s="4">
        <f t="shared" si="4"/>
        <v>57</v>
      </c>
    </row>
    <row r="18" spans="1:22" x14ac:dyDescent="0.3">
      <c r="A18" s="22" t="s">
        <v>15</v>
      </c>
      <c r="B18" s="25">
        <v>2</v>
      </c>
      <c r="C18" s="25">
        <v>1</v>
      </c>
      <c r="D18" s="22">
        <v>1.4</v>
      </c>
      <c r="E18" s="29">
        <f t="shared" si="2"/>
        <v>100</v>
      </c>
      <c r="F18" s="22">
        <v>3.2796365999999998E-4</v>
      </c>
      <c r="G18" s="6">
        <f t="shared" si="0"/>
        <v>0.91101016666666657</v>
      </c>
      <c r="H18" s="6">
        <f t="shared" si="1"/>
        <v>0.81990914999999998</v>
      </c>
      <c r="R18" s="4">
        <v>1</v>
      </c>
      <c r="S18" s="4">
        <v>60</v>
      </c>
      <c r="T18" s="4">
        <f t="shared" si="3"/>
        <v>60</v>
      </c>
      <c r="U18" s="22">
        <v>40</v>
      </c>
      <c r="V18" s="4">
        <f t="shared" si="4"/>
        <v>100</v>
      </c>
    </row>
    <row r="19" spans="1:22" x14ac:dyDescent="0.3">
      <c r="A19" s="22" t="s">
        <v>16</v>
      </c>
      <c r="B19" s="25">
        <v>2</v>
      </c>
      <c r="C19" s="25">
        <v>1</v>
      </c>
      <c r="D19" s="22">
        <v>1.41</v>
      </c>
      <c r="E19" s="29">
        <f t="shared" si="2"/>
        <v>101</v>
      </c>
      <c r="F19" s="22">
        <v>3.323221E-4</v>
      </c>
      <c r="G19" s="6">
        <f t="shared" si="0"/>
        <v>0.92311694444444448</v>
      </c>
      <c r="H19" s="6">
        <f t="shared" si="1"/>
        <v>0.83080525000000005</v>
      </c>
      <c r="R19" s="4">
        <v>1</v>
      </c>
      <c r="S19" s="4">
        <v>60</v>
      </c>
      <c r="T19" s="4">
        <f t="shared" si="3"/>
        <v>60</v>
      </c>
      <c r="U19" s="22">
        <v>41</v>
      </c>
      <c r="V19" s="4">
        <f t="shared" si="4"/>
        <v>101</v>
      </c>
    </row>
    <row r="20" spans="1:22" x14ac:dyDescent="0.3">
      <c r="A20" s="22" t="s">
        <v>17</v>
      </c>
      <c r="B20" s="25">
        <v>2</v>
      </c>
      <c r="C20" s="25">
        <v>1</v>
      </c>
      <c r="D20" s="22">
        <v>1.45</v>
      </c>
      <c r="E20" s="29">
        <f t="shared" si="2"/>
        <v>105</v>
      </c>
      <c r="F20" s="22">
        <v>3.4271101000000001E-4</v>
      </c>
      <c r="G20" s="6">
        <f t="shared" si="0"/>
        <v>0.95197502777777776</v>
      </c>
      <c r="H20" s="6">
        <f t="shared" si="1"/>
        <v>0.85677752500000004</v>
      </c>
      <c r="R20" s="4">
        <v>1</v>
      </c>
      <c r="S20" s="4">
        <v>60</v>
      </c>
      <c r="T20" s="4">
        <f t="shared" si="3"/>
        <v>60</v>
      </c>
      <c r="U20" s="22">
        <v>45</v>
      </c>
      <c r="V20" s="4">
        <f t="shared" si="4"/>
        <v>105</v>
      </c>
    </row>
    <row r="21" spans="1:22" x14ac:dyDescent="0.3">
      <c r="A21" s="22" t="s">
        <v>18</v>
      </c>
      <c r="B21" s="25">
        <v>2</v>
      </c>
      <c r="C21" s="25">
        <v>1</v>
      </c>
      <c r="D21" s="22">
        <v>1.42</v>
      </c>
      <c r="E21" s="29">
        <f t="shared" si="2"/>
        <v>102</v>
      </c>
      <c r="F21" s="22">
        <v>3.3727121999999998E-4</v>
      </c>
      <c r="G21" s="6">
        <f t="shared" si="0"/>
        <v>0.93686449999999988</v>
      </c>
      <c r="H21" s="6">
        <f t="shared" si="1"/>
        <v>0.8431780499999999</v>
      </c>
      <c r="R21" s="4">
        <v>1</v>
      </c>
      <c r="S21" s="4">
        <v>60</v>
      </c>
      <c r="T21" s="4">
        <f t="shared" si="3"/>
        <v>60</v>
      </c>
      <c r="U21" s="22">
        <v>42</v>
      </c>
      <c r="V21" s="4">
        <f t="shared" si="4"/>
        <v>102</v>
      </c>
    </row>
    <row r="22" spans="1:22" x14ac:dyDescent="0.3">
      <c r="A22" s="22" t="s">
        <v>19</v>
      </c>
      <c r="B22" s="25">
        <v>1</v>
      </c>
      <c r="C22" s="25">
        <v>1</v>
      </c>
      <c r="D22" s="22">
        <v>0.57999999999999996</v>
      </c>
      <c r="E22" s="29">
        <f t="shared" si="2"/>
        <v>58</v>
      </c>
      <c r="F22" s="22">
        <v>9.7981700000000004E-5</v>
      </c>
      <c r="G22" s="6">
        <f t="shared" si="0"/>
        <v>0.27217138888888892</v>
      </c>
      <c r="H22" s="6">
        <f t="shared" si="1"/>
        <v>0.24495425000000001</v>
      </c>
      <c r="R22" s="4">
        <v>0</v>
      </c>
      <c r="S22" s="4">
        <v>60</v>
      </c>
      <c r="T22" s="4">
        <f t="shared" si="3"/>
        <v>0</v>
      </c>
      <c r="U22" s="22">
        <v>58</v>
      </c>
      <c r="V22" s="4">
        <f t="shared" si="4"/>
        <v>58</v>
      </c>
    </row>
    <row r="23" spans="1:22" x14ac:dyDescent="0.3">
      <c r="A23" s="22" t="s">
        <v>20</v>
      </c>
      <c r="B23" s="25">
        <v>1</v>
      </c>
      <c r="C23" s="25">
        <v>1</v>
      </c>
      <c r="D23" s="22">
        <v>0.59</v>
      </c>
      <c r="E23" s="29">
        <f t="shared" si="2"/>
        <v>59</v>
      </c>
      <c r="F23" s="26">
        <v>9.7982366999999995E-5</v>
      </c>
      <c r="G23" s="6">
        <f t="shared" si="0"/>
        <v>0.27217324166666662</v>
      </c>
      <c r="H23" s="6">
        <f t="shared" si="1"/>
        <v>0.24495591749999998</v>
      </c>
      <c r="R23" s="4">
        <v>0</v>
      </c>
      <c r="S23" s="4">
        <v>60</v>
      </c>
      <c r="T23" s="4">
        <f t="shared" si="3"/>
        <v>0</v>
      </c>
      <c r="U23" s="22">
        <v>59</v>
      </c>
      <c r="V23" s="4">
        <f t="shared" si="4"/>
        <v>59</v>
      </c>
    </row>
    <row r="24" spans="1:22" x14ac:dyDescent="0.3">
      <c r="A24" s="22" t="s">
        <v>21</v>
      </c>
      <c r="B24" s="25">
        <v>1</v>
      </c>
      <c r="C24" s="25">
        <v>1</v>
      </c>
      <c r="D24" s="22">
        <v>0.59</v>
      </c>
      <c r="E24" s="29">
        <f t="shared" si="2"/>
        <v>59</v>
      </c>
      <c r="F24" s="26">
        <v>9.7984652999999995E-5</v>
      </c>
      <c r="G24" s="6">
        <f t="shared" si="0"/>
        <v>0.27217959166666666</v>
      </c>
      <c r="H24" s="6">
        <f t="shared" si="1"/>
        <v>0.2449616325</v>
      </c>
      <c r="R24" s="4">
        <v>0</v>
      </c>
      <c r="S24" s="4">
        <v>60</v>
      </c>
      <c r="T24" s="4">
        <f t="shared" si="3"/>
        <v>0</v>
      </c>
      <c r="U24" s="22">
        <v>59</v>
      </c>
      <c r="V24" s="4">
        <f t="shared" si="4"/>
        <v>59</v>
      </c>
    </row>
    <row r="25" spans="1:22" x14ac:dyDescent="0.3">
      <c r="A25" s="22" t="s">
        <v>22</v>
      </c>
      <c r="B25" s="25">
        <v>1</v>
      </c>
      <c r="C25" s="25">
        <v>1</v>
      </c>
      <c r="D25" s="22">
        <v>0.57999999999999996</v>
      </c>
      <c r="E25" s="29">
        <f t="shared" si="2"/>
        <v>58</v>
      </c>
      <c r="F25" s="26">
        <v>9.4065272999999995E-5</v>
      </c>
      <c r="G25" s="6">
        <f t="shared" si="0"/>
        <v>0.26129242499999999</v>
      </c>
      <c r="H25" s="6">
        <f t="shared" si="1"/>
        <v>0.23516318249999998</v>
      </c>
      <c r="R25" s="4">
        <v>0</v>
      </c>
      <c r="S25" s="4">
        <v>60</v>
      </c>
      <c r="T25" s="4">
        <f t="shared" si="3"/>
        <v>0</v>
      </c>
      <c r="U25" s="22">
        <v>58</v>
      </c>
      <c r="V25" s="4">
        <f t="shared" si="4"/>
        <v>58</v>
      </c>
    </row>
    <row r="26" spans="1:22" x14ac:dyDescent="0.3">
      <c r="A26" s="22" t="s">
        <v>23</v>
      </c>
      <c r="B26" s="25">
        <v>2</v>
      </c>
      <c r="C26" s="25">
        <v>1</v>
      </c>
      <c r="D26" s="22">
        <v>0.54</v>
      </c>
      <c r="E26" s="29">
        <f t="shared" si="2"/>
        <v>54</v>
      </c>
      <c r="F26" s="22">
        <v>1.830542E-4</v>
      </c>
      <c r="G26" s="6">
        <f t="shared" si="0"/>
        <v>0.50848388888888885</v>
      </c>
      <c r="H26" s="6">
        <f t="shared" si="1"/>
        <v>0.45763549999999997</v>
      </c>
      <c r="R26" s="4">
        <v>0</v>
      </c>
      <c r="S26" s="4">
        <v>60</v>
      </c>
      <c r="T26" s="4">
        <f t="shared" si="3"/>
        <v>0</v>
      </c>
      <c r="U26" s="22">
        <v>54</v>
      </c>
      <c r="V26" s="4">
        <f t="shared" si="4"/>
        <v>54</v>
      </c>
    </row>
    <row r="27" spans="1:22" x14ac:dyDescent="0.3">
      <c r="A27" s="22" t="s">
        <v>28</v>
      </c>
      <c r="B27" s="25">
        <v>4</v>
      </c>
      <c r="C27" s="25">
        <v>5</v>
      </c>
      <c r="D27" s="22">
        <v>0.25</v>
      </c>
      <c r="E27" s="29">
        <f t="shared" si="2"/>
        <v>25</v>
      </c>
      <c r="F27" s="22">
        <v>1.575448E-4</v>
      </c>
      <c r="G27" s="6">
        <f t="shared" si="0"/>
        <v>0.43762444444444443</v>
      </c>
      <c r="H27" s="6">
        <f t="shared" si="1"/>
        <v>0.39386199999999999</v>
      </c>
      <c r="R27" s="4">
        <v>0</v>
      </c>
      <c r="S27" s="4">
        <v>60</v>
      </c>
      <c r="T27" s="4">
        <f t="shared" si="3"/>
        <v>0</v>
      </c>
      <c r="U27" s="22">
        <v>25</v>
      </c>
      <c r="V27" s="4">
        <f t="shared" si="4"/>
        <v>25</v>
      </c>
    </row>
  </sheetData>
  <autoFilter ref="A4:Q4" xr:uid="{A261D3EF-DCD0-46C4-9FC0-F29520733099}"/>
  <mergeCells count="5">
    <mergeCell ref="R4:V4"/>
    <mergeCell ref="B1:Q1"/>
    <mergeCell ref="B2:H2"/>
    <mergeCell ref="K2:Q2"/>
    <mergeCell ref="D3:E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39FBB-264C-42B3-B727-8E91D41C9971}">
  <sheetPr>
    <tabColor rgb="FFFFFF00"/>
  </sheetPr>
  <dimension ref="A3:AD208"/>
  <sheetViews>
    <sheetView tabSelected="1" zoomScaleNormal="100" workbookViewId="0">
      <pane xSplit="3" ySplit="3" topLeftCell="S4" activePane="bottomRight" state="frozen"/>
      <selection pane="topRight" activeCell="D1" sqref="D1"/>
      <selection pane="bottomLeft" activeCell="A4" sqref="A4"/>
      <selection pane="bottomRight" activeCell="G30" sqref="G30"/>
    </sheetView>
  </sheetViews>
  <sheetFormatPr defaultColWidth="8" defaultRowHeight="10.199999999999999" outlineLevelRow="1" x14ac:dyDescent="0.2"/>
  <cols>
    <col min="1" max="1" width="6.44140625" style="120" bestFit="1" customWidth="1"/>
    <col min="2" max="2" width="9.33203125" style="120" bestFit="1" customWidth="1"/>
    <col min="3" max="3" width="36.5546875" style="120" bestFit="1" customWidth="1"/>
    <col min="4" max="4" width="4" style="120" bestFit="1" customWidth="1"/>
    <col min="5" max="5" width="12" style="120" bestFit="1" customWidth="1"/>
    <col min="6" max="6" width="9" style="120" bestFit="1" customWidth="1"/>
    <col min="7" max="7" width="12" style="120" bestFit="1" customWidth="1"/>
    <col min="8" max="8" width="8.5546875" style="120" customWidth="1"/>
    <col min="9" max="9" width="12" style="120" bestFit="1" customWidth="1"/>
    <col min="10" max="10" width="8.5546875" style="120" bestFit="1" customWidth="1"/>
    <col min="11" max="11" width="12" style="120" bestFit="1" customWidth="1"/>
    <col min="12" max="12" width="8.5546875" style="120" bestFit="1" customWidth="1"/>
    <col min="13" max="13" width="12" style="120" bestFit="1" customWidth="1"/>
    <col min="14" max="14" width="8.5546875" style="120" bestFit="1" customWidth="1"/>
    <col min="15" max="15" width="12" style="120" bestFit="1" customWidth="1"/>
    <col min="16" max="16" width="8.5546875" style="120" bestFit="1" customWidth="1"/>
    <col min="17" max="17" width="12" style="120" bestFit="1" customWidth="1"/>
    <col min="18" max="18" width="8.5546875" style="120" bestFit="1" customWidth="1"/>
    <col min="19" max="19" width="12" style="120" bestFit="1" customWidth="1"/>
    <col min="20" max="20" width="8.5546875" style="120" bestFit="1" customWidth="1"/>
    <col min="21" max="21" width="12" style="120" bestFit="1" customWidth="1"/>
    <col min="22" max="22" width="8.5546875" style="120" bestFit="1" customWidth="1"/>
    <col min="23" max="23" width="12" style="120" bestFit="1" customWidth="1"/>
    <col min="24" max="24" width="8.5546875" style="120" bestFit="1" customWidth="1"/>
    <col min="25" max="25" width="12" style="120" bestFit="1" customWidth="1"/>
    <col min="26" max="26" width="8.5546875" style="120" bestFit="1" customWidth="1"/>
    <col min="27" max="27" width="12" style="120" bestFit="1" customWidth="1"/>
    <col min="28" max="28" width="8.5546875" style="120" bestFit="1" customWidth="1"/>
    <col min="29" max="29" width="23.6640625" style="120" bestFit="1" customWidth="1"/>
    <col min="30" max="30" width="10.21875" style="120" bestFit="1" customWidth="1"/>
    <col min="31" max="16384" width="8" style="120"/>
  </cols>
  <sheetData>
    <row r="3" spans="1:30" ht="21" x14ac:dyDescent="0.2">
      <c r="C3" s="121" t="s">
        <v>152</v>
      </c>
      <c r="E3" s="122" t="s">
        <v>399</v>
      </c>
      <c r="G3" s="122" t="s">
        <v>400</v>
      </c>
      <c r="I3" s="122" t="s">
        <v>401</v>
      </c>
      <c r="K3" s="122" t="s">
        <v>402</v>
      </c>
      <c r="M3" s="122" t="s">
        <v>403</v>
      </c>
      <c r="O3" s="122" t="s">
        <v>404</v>
      </c>
      <c r="Q3" s="122" t="s">
        <v>405</v>
      </c>
      <c r="S3" s="122" t="s">
        <v>406</v>
      </c>
      <c r="U3" s="122" t="s">
        <v>407</v>
      </c>
      <c r="W3" s="122" t="s">
        <v>408</v>
      </c>
      <c r="Y3" s="122" t="s">
        <v>409</v>
      </c>
      <c r="AA3" s="122" t="s">
        <v>410</v>
      </c>
      <c r="AC3" s="122" t="s">
        <v>392</v>
      </c>
    </row>
    <row r="4" spans="1:30" ht="16.5" customHeight="1" x14ac:dyDescent="0.2">
      <c r="B4" s="123"/>
      <c r="C4" s="124" t="s">
        <v>153</v>
      </c>
      <c r="E4" s="126">
        <f>SUM(E5:E7)</f>
        <v>10898.9</v>
      </c>
      <c r="G4" s="126">
        <f>SUM(G5:G7)</f>
        <v>10718.9</v>
      </c>
      <c r="I4" s="126">
        <f>SUM(I5:I7)</f>
        <v>10718.9</v>
      </c>
      <c r="K4" s="126">
        <f>SUM(K5:K7)</f>
        <v>10718.9</v>
      </c>
      <c r="M4" s="126">
        <f>SUM(M5:M7)</f>
        <v>10718.9</v>
      </c>
      <c r="O4" s="126">
        <f>SUM(O5:O7)</f>
        <v>10718.9</v>
      </c>
      <c r="Q4" s="126">
        <f>SUM(Q5:Q7)</f>
        <v>10718.9</v>
      </c>
      <c r="S4" s="126">
        <f>SUM(S5:S7)</f>
        <v>10718.9</v>
      </c>
      <c r="U4" s="126">
        <f>SUM(U5:U7)</f>
        <v>10718.9</v>
      </c>
      <c r="W4" s="126">
        <f>SUM(W5:W7)</f>
        <v>10718.9</v>
      </c>
      <c r="Y4" s="126">
        <f>SUM(Y5:Y7)</f>
        <v>10718.9</v>
      </c>
      <c r="AA4" s="126">
        <f>SUM(AA5:AA7)</f>
        <v>10718.9</v>
      </c>
      <c r="AC4" s="126">
        <f>SUM(AC5:AC7)</f>
        <v>128806.8</v>
      </c>
    </row>
    <row r="5" spans="1:30" ht="13.2" x14ac:dyDescent="0.25">
      <c r="A5" s="164"/>
      <c r="B5" s="164" t="s">
        <v>154</v>
      </c>
      <c r="C5" s="165" t="s">
        <v>344</v>
      </c>
      <c r="E5" s="158">
        <f>+'REVENUE DATA'!C31</f>
        <v>8320</v>
      </c>
      <c r="F5" s="129"/>
      <c r="G5" s="158">
        <f>+'BUSINESS TO BUSINESS'!AH32</f>
        <v>8320</v>
      </c>
      <c r="H5" s="129"/>
      <c r="I5" s="158">
        <f>+'BUSINESS TO BUSINESS'!AH61</f>
        <v>8320</v>
      </c>
      <c r="J5" s="129"/>
      <c r="K5" s="158">
        <f>+'BUSINESS TO BUSINESS'!AH90</f>
        <v>8320</v>
      </c>
      <c r="L5" s="129"/>
      <c r="M5" s="158">
        <f>+'BUSINESS TO BUSINESS'!AH119</f>
        <v>8320</v>
      </c>
      <c r="N5" s="129"/>
      <c r="O5" s="158">
        <f>+'BUSINESS TO BUSINESS'!AH148</f>
        <v>8320</v>
      </c>
      <c r="P5" s="129"/>
      <c r="Q5" s="158">
        <f>+'BUSINESS TO BUSINESS'!AH177</f>
        <v>8320</v>
      </c>
      <c r="R5" s="129"/>
      <c r="S5" s="158">
        <f>+'BUSINESS TO BUSINESS'!AH206</f>
        <v>8320</v>
      </c>
      <c r="T5" s="129"/>
      <c r="U5" s="158">
        <f>+'BUSINESS TO BUSINESS'!AH235</f>
        <v>8320</v>
      </c>
      <c r="V5" s="129"/>
      <c r="W5" s="158">
        <f>+'BUSINESS TO BUSINESS'!AH264</f>
        <v>8320</v>
      </c>
      <c r="X5" s="129"/>
      <c r="Y5" s="158">
        <f>+'BUSINESS TO BUSINESS'!AH293</f>
        <v>8320</v>
      </c>
      <c r="Z5" s="129"/>
      <c r="AA5" s="158">
        <f>+'BUSINESS TO BUSINESS'!AH322</f>
        <v>8320</v>
      </c>
      <c r="AB5" s="129"/>
      <c r="AC5" s="158">
        <f>+E5+G5+I5+K5+M5+O5+Q5+S5+U5+W5+Y5+AA5</f>
        <v>99840</v>
      </c>
      <c r="AD5" s="129"/>
    </row>
    <row r="6" spans="1:30" ht="13.2" x14ac:dyDescent="0.25">
      <c r="A6" s="174"/>
      <c r="B6" s="164" t="s">
        <v>155</v>
      </c>
      <c r="C6" s="165" t="s">
        <v>345</v>
      </c>
      <c r="E6" s="158">
        <f>+'REVENUE DATA'!C48</f>
        <v>180</v>
      </c>
      <c r="F6" s="129"/>
      <c r="G6" s="158">
        <f>+'REVENUE DATA'!D48</f>
        <v>0</v>
      </c>
      <c r="H6" s="129"/>
      <c r="I6" s="158">
        <f>+'REVENUE DATA'!E48</f>
        <v>0</v>
      </c>
      <c r="J6" s="129"/>
      <c r="K6" s="158">
        <f>+'REVENUE DATA'!F48</f>
        <v>0</v>
      </c>
      <c r="L6" s="129"/>
      <c r="M6" s="158">
        <f>+'REVENUE DATA'!G48</f>
        <v>0</v>
      </c>
      <c r="N6" s="129"/>
      <c r="O6" s="158">
        <f>+'REVENUE DATA'!H48</f>
        <v>0</v>
      </c>
      <c r="P6" s="129"/>
      <c r="Q6" s="158">
        <f>+'REVENUE DATA'!I48</f>
        <v>0</v>
      </c>
      <c r="R6" s="129"/>
      <c r="S6" s="158">
        <f>+'REVENUE DATA'!J48</f>
        <v>0</v>
      </c>
      <c r="T6" s="129"/>
      <c r="U6" s="158">
        <f>+'REVENUE DATA'!K48</f>
        <v>0</v>
      </c>
      <c r="V6" s="129"/>
      <c r="W6" s="158">
        <f>+'REVENUE DATA'!L48</f>
        <v>0</v>
      </c>
      <c r="X6" s="129"/>
      <c r="Y6" s="158">
        <f>+'REVENUE DATA'!M48</f>
        <v>0</v>
      </c>
      <c r="Z6" s="129"/>
      <c r="AA6" s="158">
        <f>+'REVENUE DATA'!N48</f>
        <v>0</v>
      </c>
      <c r="AB6" s="129"/>
      <c r="AC6" s="158">
        <f t="shared" ref="AC6:AC24" si="0">+E6+G6+I6+K6+M6+O6+Q6+S6+U6+W6+Y6+AA6</f>
        <v>180</v>
      </c>
      <c r="AD6" s="129"/>
    </row>
    <row r="7" spans="1:30" ht="13.2" x14ac:dyDescent="0.25">
      <c r="A7" s="174"/>
      <c r="B7" s="164" t="s">
        <v>156</v>
      </c>
      <c r="C7" s="165" t="s">
        <v>346</v>
      </c>
      <c r="E7" s="158">
        <f>+'REVENUE DATA'!H5+'REVENUE DATA'!I5</f>
        <v>2398.9</v>
      </c>
      <c r="F7" s="129"/>
      <c r="G7" s="158">
        <f>+'REVENUE DATA'!H6+'REVENUE DATA'!I6</f>
        <v>2398.9</v>
      </c>
      <c r="H7" s="129"/>
      <c r="I7" s="158">
        <f>+'REVENUE DATA'!H7+'REVENUE DATA'!I7</f>
        <v>2398.9</v>
      </c>
      <c r="J7" s="129"/>
      <c r="K7" s="158">
        <f>+'REVENUE DATA'!H8+'REVENUE DATA'!I8</f>
        <v>2398.9</v>
      </c>
      <c r="L7" s="129"/>
      <c r="M7" s="158">
        <f>+'REVENUE DATA'!H9+'REVENUE DATA'!I9</f>
        <v>2398.9</v>
      </c>
      <c r="N7" s="129"/>
      <c r="O7" s="158">
        <f>+'REVENUE DATA'!H10+'REVENUE DATA'!I10</f>
        <v>2398.9</v>
      </c>
      <c r="P7" s="129"/>
      <c r="Q7" s="158">
        <f>+'REVENUE DATA'!H11+'REVENUE DATA'!I11</f>
        <v>2398.9</v>
      </c>
      <c r="R7" s="129"/>
      <c r="S7" s="158">
        <f>+'REVENUE DATA'!H12+'REVENUE DATA'!I12</f>
        <v>2398.9</v>
      </c>
      <c r="T7" s="129"/>
      <c r="U7" s="158">
        <f>+'REVENUE DATA'!H13+'REVENUE DATA'!I13</f>
        <v>2398.9</v>
      </c>
      <c r="V7" s="129"/>
      <c r="W7" s="158">
        <f>+'REVENUE DATA'!H14+'REVENUE DATA'!I14</f>
        <v>2398.9</v>
      </c>
      <c r="X7" s="129"/>
      <c r="Y7" s="158">
        <f>+'REVENUE DATA'!H15+'REVENUE DATA'!I15</f>
        <v>2398.9</v>
      </c>
      <c r="Z7" s="129"/>
      <c r="AA7" s="158">
        <f>+'REVENUE DATA'!H16+'REVENUE DATA'!I16</f>
        <v>2398.9</v>
      </c>
      <c r="AB7" s="129"/>
      <c r="AC7" s="158">
        <f t="shared" si="0"/>
        <v>28786.800000000007</v>
      </c>
      <c r="AD7" s="129"/>
    </row>
    <row r="8" spans="1:30" ht="13.2" hidden="1" customHeight="1" outlineLevel="1" x14ac:dyDescent="0.25">
      <c r="A8" s="174"/>
      <c r="B8" s="123"/>
      <c r="C8" s="124" t="s">
        <v>157</v>
      </c>
      <c r="E8" s="131">
        <f>SUM(E9:E10)</f>
        <v>0</v>
      </c>
      <c r="F8" s="129"/>
      <c r="G8" s="131">
        <f>SUM(G9:G10)</f>
        <v>0</v>
      </c>
      <c r="H8" s="129"/>
      <c r="I8" s="131">
        <f>SUM(I9:I10)</f>
        <v>0</v>
      </c>
      <c r="J8" s="129"/>
      <c r="K8" s="131">
        <f>SUM(K9:K10)</f>
        <v>0</v>
      </c>
      <c r="L8" s="129"/>
      <c r="M8" s="131">
        <f>SUM(M9:M10)</f>
        <v>0</v>
      </c>
      <c r="N8" s="129"/>
      <c r="O8" s="131">
        <f>SUM(O9:O10)</f>
        <v>0</v>
      </c>
      <c r="P8" s="129"/>
      <c r="Q8" s="131">
        <f>SUM(Q9:Q10)</f>
        <v>0</v>
      </c>
      <c r="R8" s="129"/>
      <c r="S8" s="131">
        <f>SUM(S9:S10)</f>
        <v>0</v>
      </c>
      <c r="T8" s="129"/>
      <c r="U8" s="131">
        <f>SUM(U9:U10)</f>
        <v>0</v>
      </c>
      <c r="V8" s="129"/>
      <c r="W8" s="131">
        <f>SUM(W9:W10)</f>
        <v>0</v>
      </c>
      <c r="X8" s="129"/>
      <c r="Y8" s="131">
        <f>SUM(Y9:Y10)</f>
        <v>0</v>
      </c>
      <c r="Z8" s="129"/>
      <c r="AA8" s="131">
        <f>SUM(AA9:AA10)</f>
        <v>0</v>
      </c>
      <c r="AB8" s="129"/>
      <c r="AC8" s="131">
        <f>SUM(AC9:AC10)</f>
        <v>0</v>
      </c>
      <c r="AD8" s="129"/>
    </row>
    <row r="9" spans="1:30" ht="13.2" hidden="1" customHeight="1" outlineLevel="1" x14ac:dyDescent="0.25">
      <c r="A9" s="174"/>
      <c r="B9" s="120" t="s">
        <v>158</v>
      </c>
      <c r="C9" s="120" t="s">
        <v>159</v>
      </c>
      <c r="E9" s="128"/>
      <c r="F9" s="129"/>
      <c r="G9" s="128"/>
      <c r="H9" s="129"/>
      <c r="I9" s="128"/>
      <c r="J9" s="129"/>
      <c r="K9" s="128"/>
      <c r="L9" s="129"/>
      <c r="M9" s="128"/>
      <c r="N9" s="129"/>
      <c r="O9" s="128"/>
      <c r="P9" s="129"/>
      <c r="Q9" s="128"/>
      <c r="R9" s="129"/>
      <c r="S9" s="128"/>
      <c r="T9" s="129"/>
      <c r="U9" s="128"/>
      <c r="V9" s="129"/>
      <c r="W9" s="128"/>
      <c r="X9" s="129"/>
      <c r="Y9" s="128"/>
      <c r="Z9" s="129"/>
      <c r="AA9" s="128"/>
      <c r="AB9" s="129"/>
      <c r="AC9" s="128">
        <f t="shared" si="0"/>
        <v>0</v>
      </c>
      <c r="AD9" s="129"/>
    </row>
    <row r="10" spans="1:30" ht="13.2" hidden="1" customHeight="1" outlineLevel="1" x14ac:dyDescent="0.25">
      <c r="A10" s="174"/>
      <c r="B10" s="120" t="s">
        <v>160</v>
      </c>
      <c r="C10" s="127" t="s">
        <v>161</v>
      </c>
      <c r="E10" s="128"/>
      <c r="F10" s="129"/>
      <c r="G10" s="128"/>
      <c r="H10" s="129"/>
      <c r="I10" s="128"/>
      <c r="J10" s="129"/>
      <c r="K10" s="128"/>
      <c r="L10" s="129"/>
      <c r="M10" s="128"/>
      <c r="N10" s="129"/>
      <c r="O10" s="128"/>
      <c r="P10" s="129"/>
      <c r="Q10" s="128"/>
      <c r="R10" s="129"/>
      <c r="S10" s="128"/>
      <c r="T10" s="129"/>
      <c r="U10" s="128"/>
      <c r="V10" s="129"/>
      <c r="W10" s="128"/>
      <c r="X10" s="129"/>
      <c r="Y10" s="128"/>
      <c r="Z10" s="129"/>
      <c r="AA10" s="128"/>
      <c r="AB10" s="129"/>
      <c r="AC10" s="128">
        <f t="shared" si="0"/>
        <v>0</v>
      </c>
      <c r="AD10" s="129"/>
    </row>
    <row r="11" spans="1:30" ht="13.2" hidden="1" customHeight="1" outlineLevel="1" x14ac:dyDescent="0.25">
      <c r="A11" s="174"/>
      <c r="B11" s="123"/>
      <c r="C11" s="124" t="s">
        <v>162</v>
      </c>
      <c r="E11" s="131">
        <f>+E14+E13+E12</f>
        <v>0</v>
      </c>
      <c r="F11" s="129"/>
      <c r="G11" s="131">
        <f>+G14+G13+G12</f>
        <v>0</v>
      </c>
      <c r="H11" s="129"/>
      <c r="I11" s="131">
        <f>+I14+I13+I12</f>
        <v>0</v>
      </c>
      <c r="J11" s="129"/>
      <c r="K11" s="131">
        <f>+K14+K13+K12</f>
        <v>0</v>
      </c>
      <c r="L11" s="129"/>
      <c r="M11" s="131">
        <f>+M14+M13+M12</f>
        <v>0</v>
      </c>
      <c r="N11" s="129"/>
      <c r="O11" s="131">
        <f>+O14+O13+O12</f>
        <v>0</v>
      </c>
      <c r="P11" s="129"/>
      <c r="Q11" s="131">
        <f>+Q14+Q13+Q12</f>
        <v>0</v>
      </c>
      <c r="R11" s="129"/>
      <c r="S11" s="131">
        <f>+S14+S13+S12</f>
        <v>0</v>
      </c>
      <c r="T11" s="129"/>
      <c r="U11" s="131">
        <f>+U14+U13+U12</f>
        <v>0</v>
      </c>
      <c r="V11" s="129"/>
      <c r="W11" s="131">
        <f>+W14+W13+W12</f>
        <v>0</v>
      </c>
      <c r="X11" s="129"/>
      <c r="Y11" s="131">
        <f>+Y14+Y13+Y12</f>
        <v>0</v>
      </c>
      <c r="Z11" s="129"/>
      <c r="AA11" s="131">
        <f>+AA14+AA13+AA12</f>
        <v>0</v>
      </c>
      <c r="AB11" s="129"/>
      <c r="AC11" s="131">
        <f>+AC14+AC13+AC12</f>
        <v>0</v>
      </c>
      <c r="AD11" s="129"/>
    </row>
    <row r="12" spans="1:30" ht="13.2" hidden="1" customHeight="1" outlineLevel="1" x14ac:dyDescent="0.25">
      <c r="A12" s="174"/>
      <c r="B12" s="120" t="s">
        <v>163</v>
      </c>
      <c r="C12" s="127" t="s">
        <v>164</v>
      </c>
      <c r="E12" s="128"/>
      <c r="F12" s="129"/>
      <c r="G12" s="128"/>
      <c r="H12" s="129"/>
      <c r="I12" s="128"/>
      <c r="J12" s="129"/>
      <c r="K12" s="128"/>
      <c r="L12" s="129"/>
      <c r="M12" s="128"/>
      <c r="N12" s="129"/>
      <c r="O12" s="128"/>
      <c r="P12" s="129"/>
      <c r="Q12" s="128"/>
      <c r="R12" s="129"/>
      <c r="S12" s="128"/>
      <c r="T12" s="129"/>
      <c r="U12" s="128"/>
      <c r="V12" s="129"/>
      <c r="W12" s="128"/>
      <c r="X12" s="129"/>
      <c r="Y12" s="128"/>
      <c r="Z12" s="129"/>
      <c r="AA12" s="128"/>
      <c r="AB12" s="129"/>
      <c r="AC12" s="128">
        <f t="shared" si="0"/>
        <v>0</v>
      </c>
      <c r="AD12" s="129"/>
    </row>
    <row r="13" spans="1:30" ht="13.2" hidden="1" customHeight="1" outlineLevel="1" x14ac:dyDescent="0.25">
      <c r="A13" s="174"/>
      <c r="B13" s="120" t="s">
        <v>165</v>
      </c>
      <c r="C13" s="127" t="s">
        <v>166</v>
      </c>
      <c r="E13" s="128"/>
      <c r="F13" s="129"/>
      <c r="G13" s="128"/>
      <c r="H13" s="129"/>
      <c r="I13" s="128"/>
      <c r="J13" s="129"/>
      <c r="K13" s="128"/>
      <c r="L13" s="129"/>
      <c r="M13" s="128"/>
      <c r="N13" s="129"/>
      <c r="O13" s="128"/>
      <c r="P13" s="129"/>
      <c r="Q13" s="128"/>
      <c r="R13" s="129"/>
      <c r="S13" s="128"/>
      <c r="T13" s="129"/>
      <c r="U13" s="128"/>
      <c r="V13" s="129"/>
      <c r="W13" s="128"/>
      <c r="X13" s="129"/>
      <c r="Y13" s="128"/>
      <c r="Z13" s="129"/>
      <c r="AA13" s="128"/>
      <c r="AB13" s="129"/>
      <c r="AC13" s="128">
        <f t="shared" si="0"/>
        <v>0</v>
      </c>
      <c r="AD13" s="129"/>
    </row>
    <row r="14" spans="1:30" ht="13.2" hidden="1" customHeight="1" outlineLevel="1" x14ac:dyDescent="0.25">
      <c r="A14" s="174"/>
      <c r="B14" s="120" t="s">
        <v>167</v>
      </c>
      <c r="C14" s="127" t="s">
        <v>168</v>
      </c>
      <c r="E14" s="128"/>
      <c r="F14" s="129"/>
      <c r="G14" s="128"/>
      <c r="H14" s="129"/>
      <c r="I14" s="128"/>
      <c r="J14" s="129"/>
      <c r="K14" s="128"/>
      <c r="L14" s="129"/>
      <c r="M14" s="128"/>
      <c r="N14" s="129"/>
      <c r="O14" s="128"/>
      <c r="P14" s="129"/>
      <c r="Q14" s="128"/>
      <c r="R14" s="129"/>
      <c r="S14" s="128"/>
      <c r="T14" s="129"/>
      <c r="U14" s="128"/>
      <c r="V14" s="129"/>
      <c r="W14" s="128"/>
      <c r="X14" s="129"/>
      <c r="Y14" s="128"/>
      <c r="Z14" s="129"/>
      <c r="AA14" s="128"/>
      <c r="AB14" s="129"/>
      <c r="AC14" s="128">
        <f t="shared" si="0"/>
        <v>0</v>
      </c>
      <c r="AD14" s="129"/>
    </row>
    <row r="15" spans="1:30" ht="13.2" hidden="1" customHeight="1" outlineLevel="1" x14ac:dyDescent="0.25">
      <c r="A15" s="174"/>
      <c r="B15" s="132"/>
      <c r="C15" s="124" t="s">
        <v>169</v>
      </c>
      <c r="E15" s="131">
        <f>+E16</f>
        <v>0</v>
      </c>
      <c r="F15" s="129"/>
      <c r="G15" s="131">
        <f>+G16</f>
        <v>0</v>
      </c>
      <c r="H15" s="129"/>
      <c r="I15" s="131">
        <f>+I16</f>
        <v>0</v>
      </c>
      <c r="J15" s="129"/>
      <c r="K15" s="131">
        <f>+K16</f>
        <v>0</v>
      </c>
      <c r="L15" s="129"/>
      <c r="M15" s="131">
        <f>+M16</f>
        <v>0</v>
      </c>
      <c r="N15" s="129"/>
      <c r="O15" s="131">
        <f>+O16</f>
        <v>0</v>
      </c>
      <c r="P15" s="129"/>
      <c r="Q15" s="131">
        <f>+Q16</f>
        <v>0</v>
      </c>
      <c r="R15" s="129"/>
      <c r="S15" s="131">
        <f>+S16</f>
        <v>0</v>
      </c>
      <c r="T15" s="129"/>
      <c r="U15" s="131">
        <f>+U16</f>
        <v>0</v>
      </c>
      <c r="V15" s="129"/>
      <c r="W15" s="131">
        <f>+W16</f>
        <v>0</v>
      </c>
      <c r="X15" s="129"/>
      <c r="Y15" s="131">
        <f>+Y16</f>
        <v>0</v>
      </c>
      <c r="Z15" s="129"/>
      <c r="AA15" s="131">
        <f>+AA16</f>
        <v>0</v>
      </c>
      <c r="AB15" s="129"/>
      <c r="AC15" s="131">
        <f>+AC16</f>
        <v>0</v>
      </c>
      <c r="AD15" s="129"/>
    </row>
    <row r="16" spans="1:30" ht="13.2" hidden="1" customHeight="1" outlineLevel="1" x14ac:dyDescent="0.25">
      <c r="A16" s="174"/>
      <c r="B16" s="120" t="s">
        <v>170</v>
      </c>
      <c r="C16" s="127" t="s">
        <v>171</v>
      </c>
      <c r="E16" s="128"/>
      <c r="F16" s="129"/>
      <c r="G16" s="128"/>
      <c r="H16" s="129"/>
      <c r="I16" s="128"/>
      <c r="J16" s="129"/>
      <c r="K16" s="128"/>
      <c r="L16" s="129"/>
      <c r="M16" s="128"/>
      <c r="N16" s="129"/>
      <c r="O16" s="128"/>
      <c r="P16" s="129"/>
      <c r="Q16" s="128"/>
      <c r="R16" s="129"/>
      <c r="S16" s="128"/>
      <c r="T16" s="129"/>
      <c r="U16" s="128"/>
      <c r="V16" s="129"/>
      <c r="W16" s="128"/>
      <c r="X16" s="129"/>
      <c r="Y16" s="128"/>
      <c r="Z16" s="129"/>
      <c r="AA16" s="128"/>
      <c r="AB16" s="129"/>
      <c r="AC16" s="128">
        <f t="shared" si="0"/>
        <v>0</v>
      </c>
      <c r="AD16" s="129"/>
    </row>
    <row r="17" spans="1:30" ht="13.2" hidden="1" customHeight="1" outlineLevel="1" x14ac:dyDescent="0.25">
      <c r="A17" s="174"/>
      <c r="B17" s="123"/>
      <c r="C17" s="124" t="s">
        <v>172</v>
      </c>
      <c r="E17" s="131">
        <f>+E19+E18</f>
        <v>0</v>
      </c>
      <c r="F17" s="129"/>
      <c r="G17" s="131">
        <f>+G19+G18</f>
        <v>0</v>
      </c>
      <c r="H17" s="129"/>
      <c r="I17" s="131">
        <f>+I19+I18</f>
        <v>0</v>
      </c>
      <c r="J17" s="129"/>
      <c r="K17" s="131">
        <f>+K19+K18</f>
        <v>0</v>
      </c>
      <c r="L17" s="129"/>
      <c r="M17" s="131">
        <f>+M19+M18</f>
        <v>0</v>
      </c>
      <c r="N17" s="129"/>
      <c r="O17" s="131">
        <f>+O19+O18</f>
        <v>0</v>
      </c>
      <c r="P17" s="129"/>
      <c r="Q17" s="131">
        <f>+Q19+Q18</f>
        <v>0</v>
      </c>
      <c r="R17" s="129"/>
      <c r="S17" s="131">
        <f>+S19+S18</f>
        <v>0</v>
      </c>
      <c r="T17" s="129"/>
      <c r="U17" s="131">
        <f>+U19+U18</f>
        <v>0</v>
      </c>
      <c r="V17" s="129"/>
      <c r="W17" s="131">
        <f>+W19+W18</f>
        <v>0</v>
      </c>
      <c r="X17" s="129"/>
      <c r="Y17" s="131">
        <f>+Y19+Y18</f>
        <v>0</v>
      </c>
      <c r="Z17" s="129"/>
      <c r="AA17" s="131">
        <f>+AA19+AA18</f>
        <v>0</v>
      </c>
      <c r="AB17" s="129"/>
      <c r="AC17" s="131">
        <f>+AC19+AC18</f>
        <v>0</v>
      </c>
      <c r="AD17" s="129"/>
    </row>
    <row r="18" spans="1:30" ht="13.2" hidden="1" customHeight="1" outlineLevel="1" x14ac:dyDescent="0.25">
      <c r="A18" s="174"/>
      <c r="B18" s="120" t="s">
        <v>173</v>
      </c>
      <c r="C18" s="127" t="s">
        <v>347</v>
      </c>
      <c r="E18" s="128"/>
      <c r="F18" s="129"/>
      <c r="G18" s="128"/>
      <c r="H18" s="129"/>
      <c r="I18" s="128"/>
      <c r="J18" s="129"/>
      <c r="K18" s="128"/>
      <c r="L18" s="129"/>
      <c r="M18" s="128"/>
      <c r="N18" s="129"/>
      <c r="O18" s="128"/>
      <c r="P18" s="129"/>
      <c r="Q18" s="128"/>
      <c r="R18" s="129"/>
      <c r="S18" s="128"/>
      <c r="T18" s="129"/>
      <c r="U18" s="128"/>
      <c r="V18" s="129"/>
      <c r="W18" s="128"/>
      <c r="X18" s="129"/>
      <c r="Y18" s="128"/>
      <c r="Z18" s="129"/>
      <c r="AA18" s="128"/>
      <c r="AB18" s="129"/>
      <c r="AC18" s="128">
        <f t="shared" si="0"/>
        <v>0</v>
      </c>
      <c r="AD18" s="129"/>
    </row>
    <row r="19" spans="1:30" ht="13.2" hidden="1" customHeight="1" outlineLevel="1" x14ac:dyDescent="0.25">
      <c r="A19" s="174"/>
      <c r="B19" s="120" t="s">
        <v>174</v>
      </c>
      <c r="C19" s="127" t="s">
        <v>348</v>
      </c>
      <c r="E19" s="128"/>
      <c r="F19" s="129"/>
      <c r="G19" s="128"/>
      <c r="H19" s="129"/>
      <c r="I19" s="128"/>
      <c r="J19" s="129"/>
      <c r="K19" s="128"/>
      <c r="L19" s="129"/>
      <c r="M19" s="128"/>
      <c r="N19" s="129"/>
      <c r="O19" s="128"/>
      <c r="P19" s="129"/>
      <c r="Q19" s="128"/>
      <c r="R19" s="129"/>
      <c r="S19" s="128"/>
      <c r="T19" s="129"/>
      <c r="U19" s="128"/>
      <c r="V19" s="129"/>
      <c r="W19" s="128"/>
      <c r="X19" s="129"/>
      <c r="Y19" s="128"/>
      <c r="Z19" s="129"/>
      <c r="AA19" s="128"/>
      <c r="AB19" s="129"/>
      <c r="AC19" s="128">
        <f t="shared" si="0"/>
        <v>0</v>
      </c>
      <c r="AD19" s="129"/>
    </row>
    <row r="20" spans="1:30" ht="13.2" hidden="1" customHeight="1" outlineLevel="1" x14ac:dyDescent="0.25">
      <c r="A20" s="174"/>
      <c r="B20" s="123"/>
      <c r="C20" s="124" t="s">
        <v>175</v>
      </c>
      <c r="E20" s="131">
        <f>+E21</f>
        <v>0</v>
      </c>
      <c r="F20" s="129"/>
      <c r="G20" s="131">
        <f>+G21</f>
        <v>0</v>
      </c>
      <c r="H20" s="129"/>
      <c r="I20" s="131">
        <f>+I21</f>
        <v>0</v>
      </c>
      <c r="J20" s="129"/>
      <c r="K20" s="131">
        <f>+K21</f>
        <v>0</v>
      </c>
      <c r="L20" s="129"/>
      <c r="M20" s="131">
        <f>+M21</f>
        <v>0</v>
      </c>
      <c r="N20" s="129"/>
      <c r="O20" s="131">
        <f>+O21</f>
        <v>0</v>
      </c>
      <c r="P20" s="129"/>
      <c r="Q20" s="131">
        <f>+Q21</f>
        <v>0</v>
      </c>
      <c r="R20" s="129"/>
      <c r="S20" s="131">
        <f>+S21</f>
        <v>0</v>
      </c>
      <c r="T20" s="129"/>
      <c r="U20" s="131">
        <f>+U21</f>
        <v>0</v>
      </c>
      <c r="V20" s="129"/>
      <c r="W20" s="131">
        <f>+W21</f>
        <v>0</v>
      </c>
      <c r="X20" s="129"/>
      <c r="Y20" s="131">
        <f>+Y21</f>
        <v>0</v>
      </c>
      <c r="Z20" s="129"/>
      <c r="AA20" s="131">
        <f>+AA21</f>
        <v>0</v>
      </c>
      <c r="AB20" s="129"/>
      <c r="AC20" s="131">
        <f>+AC21</f>
        <v>0</v>
      </c>
      <c r="AD20" s="129"/>
    </row>
    <row r="21" spans="1:30" ht="13.2" hidden="1" customHeight="1" outlineLevel="1" x14ac:dyDescent="0.25">
      <c r="A21" s="174"/>
      <c r="B21" s="120" t="s">
        <v>176</v>
      </c>
      <c r="C21" s="120" t="s">
        <v>177</v>
      </c>
      <c r="E21" s="128"/>
      <c r="F21" s="129"/>
      <c r="G21" s="128"/>
      <c r="H21" s="129"/>
      <c r="I21" s="128"/>
      <c r="J21" s="129"/>
      <c r="K21" s="128"/>
      <c r="L21" s="129"/>
      <c r="M21" s="128"/>
      <c r="N21" s="129"/>
      <c r="O21" s="128"/>
      <c r="P21" s="129"/>
      <c r="Q21" s="128"/>
      <c r="R21" s="129"/>
      <c r="S21" s="128"/>
      <c r="T21" s="129"/>
      <c r="U21" s="128"/>
      <c r="V21" s="129"/>
      <c r="W21" s="128"/>
      <c r="X21" s="129"/>
      <c r="Y21" s="128"/>
      <c r="Z21" s="129"/>
      <c r="AA21" s="128"/>
      <c r="AB21" s="129"/>
      <c r="AC21" s="128">
        <f t="shared" si="0"/>
        <v>0</v>
      </c>
      <c r="AD21" s="129"/>
    </row>
    <row r="22" spans="1:30" ht="13.2" hidden="1" customHeight="1" outlineLevel="1" x14ac:dyDescent="0.25">
      <c r="A22" s="174"/>
      <c r="B22" s="123"/>
      <c r="C22" s="124" t="s">
        <v>178</v>
      </c>
      <c r="D22" s="129"/>
      <c r="E22" s="133">
        <f>+E23+E24</f>
        <v>0</v>
      </c>
      <c r="F22" s="129"/>
      <c r="G22" s="133">
        <f>+G23+G24</f>
        <v>0</v>
      </c>
      <c r="H22" s="129"/>
      <c r="I22" s="133">
        <f>+I23+I24</f>
        <v>0</v>
      </c>
      <c r="J22" s="129"/>
      <c r="K22" s="133">
        <f>+K23+K24</f>
        <v>0</v>
      </c>
      <c r="L22" s="129"/>
      <c r="M22" s="133">
        <f>+M23+M24</f>
        <v>0</v>
      </c>
      <c r="N22" s="129"/>
      <c r="O22" s="133">
        <f>+O23+O24</f>
        <v>0</v>
      </c>
      <c r="P22" s="129"/>
      <c r="Q22" s="133">
        <f>+Q23+Q24</f>
        <v>0</v>
      </c>
      <c r="R22" s="129"/>
      <c r="S22" s="133">
        <f>+S23+S24</f>
        <v>0</v>
      </c>
      <c r="T22" s="129"/>
      <c r="U22" s="133">
        <f>+U23+U24</f>
        <v>0</v>
      </c>
      <c r="V22" s="129"/>
      <c r="W22" s="133">
        <f>+W23+W24</f>
        <v>0</v>
      </c>
      <c r="X22" s="129"/>
      <c r="Y22" s="133">
        <f>+Y23+Y24</f>
        <v>0</v>
      </c>
      <c r="Z22" s="129"/>
      <c r="AA22" s="133">
        <f>+AA23+AA24</f>
        <v>0</v>
      </c>
      <c r="AB22" s="129"/>
      <c r="AC22" s="133">
        <f>+AC23+AC24</f>
        <v>0</v>
      </c>
      <c r="AD22" s="129"/>
    </row>
    <row r="23" spans="1:30" ht="13.2" hidden="1" customHeight="1" outlineLevel="1" x14ac:dyDescent="0.25">
      <c r="A23" s="174"/>
      <c r="B23" s="120" t="s">
        <v>179</v>
      </c>
      <c r="C23" s="127" t="s">
        <v>180</v>
      </c>
      <c r="E23" s="134"/>
      <c r="F23" s="129"/>
      <c r="G23" s="134"/>
      <c r="H23" s="129"/>
      <c r="I23" s="134"/>
      <c r="J23" s="129"/>
      <c r="K23" s="134"/>
      <c r="L23" s="129"/>
      <c r="M23" s="134"/>
      <c r="N23" s="129"/>
      <c r="O23" s="134"/>
      <c r="P23" s="129"/>
      <c r="Q23" s="134"/>
      <c r="R23" s="129"/>
      <c r="S23" s="134"/>
      <c r="T23" s="129"/>
      <c r="U23" s="134"/>
      <c r="V23" s="129"/>
      <c r="W23" s="134"/>
      <c r="X23" s="129"/>
      <c r="Y23" s="134"/>
      <c r="Z23" s="129"/>
      <c r="AA23" s="134"/>
      <c r="AB23" s="129"/>
      <c r="AC23" s="134">
        <f t="shared" si="0"/>
        <v>0</v>
      </c>
      <c r="AD23" s="129"/>
    </row>
    <row r="24" spans="1:30" ht="13.2" hidden="1" customHeight="1" outlineLevel="1" x14ac:dyDescent="0.25">
      <c r="A24" s="174"/>
      <c r="B24" s="120" t="s">
        <v>181</v>
      </c>
      <c r="C24" s="127" t="s">
        <v>182</v>
      </c>
      <c r="E24" s="134"/>
      <c r="F24" s="129"/>
      <c r="G24" s="134"/>
      <c r="H24" s="129"/>
      <c r="I24" s="134"/>
      <c r="J24" s="129"/>
      <c r="K24" s="134"/>
      <c r="L24" s="129"/>
      <c r="M24" s="134"/>
      <c r="N24" s="129"/>
      <c r="O24" s="134"/>
      <c r="P24" s="129"/>
      <c r="Q24" s="134"/>
      <c r="R24" s="129"/>
      <c r="S24" s="134"/>
      <c r="T24" s="129"/>
      <c r="U24" s="134"/>
      <c r="V24" s="129"/>
      <c r="W24" s="134"/>
      <c r="X24" s="129"/>
      <c r="Y24" s="134"/>
      <c r="Z24" s="129"/>
      <c r="AA24" s="134"/>
      <c r="AB24" s="129"/>
      <c r="AC24" s="134">
        <f t="shared" si="0"/>
        <v>0</v>
      </c>
      <c r="AD24" s="129"/>
    </row>
    <row r="25" spans="1:30" ht="13.2" collapsed="1" x14ac:dyDescent="0.25">
      <c r="A25" s="174"/>
      <c r="C25" s="135" t="s">
        <v>133</v>
      </c>
      <c r="E25" s="136">
        <f>+E4+E8+E11+E17+E20-E22+E15</f>
        <v>10898.9</v>
      </c>
      <c r="F25" s="129"/>
      <c r="G25" s="136">
        <f>+G4+G8+G11+G17+G20-G22+G15</f>
        <v>10718.9</v>
      </c>
      <c r="H25" s="129"/>
      <c r="I25" s="136">
        <f>+I4+I8+I11+I17+I20-I22+I15</f>
        <v>10718.9</v>
      </c>
      <c r="J25" s="129"/>
      <c r="K25" s="136">
        <f>+K4+K8+K11+K17+K20-K22+K15</f>
        <v>10718.9</v>
      </c>
      <c r="L25" s="129"/>
      <c r="M25" s="136">
        <f>+M4+M8+M11+M17+M20-M22+M15</f>
        <v>10718.9</v>
      </c>
      <c r="N25" s="129"/>
      <c r="O25" s="136">
        <f>+O4+O8+O11+O17+O20-O22+O15</f>
        <v>10718.9</v>
      </c>
      <c r="P25" s="129"/>
      <c r="Q25" s="136">
        <f>+Q4+Q8+Q11+Q17+Q20-Q22+Q15</f>
        <v>10718.9</v>
      </c>
      <c r="R25" s="129"/>
      <c r="S25" s="136">
        <f>+S4+S8+S11+S17+S20-S22+S15</f>
        <v>10718.9</v>
      </c>
      <c r="T25" s="129"/>
      <c r="U25" s="136">
        <f>+U4+U8+U11+U17+U20-U22+U15</f>
        <v>10718.9</v>
      </c>
      <c r="V25" s="129"/>
      <c r="W25" s="136">
        <f>+W4+W8+W11+W17+W20-W22+W15</f>
        <v>10718.9</v>
      </c>
      <c r="X25" s="129"/>
      <c r="Y25" s="136">
        <f>+Y4+Y8+Y11+Y17+Y20-Y22+Y15</f>
        <v>10718.9</v>
      </c>
      <c r="Z25" s="129"/>
      <c r="AA25" s="136">
        <f>+AA4+AA8+AA11+AA17+AA20-AA22+AA15</f>
        <v>10718.9</v>
      </c>
      <c r="AB25" s="129"/>
      <c r="AC25" s="136">
        <f>+AC4+AC8+AC11+AC17+AC20-AC22+AC15</f>
        <v>128806.8</v>
      </c>
      <c r="AD25" s="129"/>
    </row>
    <row r="26" spans="1:30" ht="13.2" hidden="1" customHeight="1" outlineLevel="1" x14ac:dyDescent="0.25">
      <c r="A26" s="174"/>
      <c r="B26" s="123"/>
      <c r="C26" s="124" t="s">
        <v>183</v>
      </c>
      <c r="D26" s="137"/>
      <c r="E26" s="138">
        <f>+E27</f>
        <v>0</v>
      </c>
      <c r="F26" s="137">
        <f>E26/$E$25</f>
        <v>0</v>
      </c>
      <c r="G26" s="138">
        <f>+G27</f>
        <v>0</v>
      </c>
      <c r="H26" s="137">
        <f>G26/$E$25</f>
        <v>0</v>
      </c>
      <c r="I26" s="138">
        <f>+I27</f>
        <v>0</v>
      </c>
      <c r="J26" s="137">
        <f>I26/$E$25</f>
        <v>0</v>
      </c>
      <c r="K26" s="138">
        <f>+K27</f>
        <v>0</v>
      </c>
      <c r="L26" s="137">
        <f>K26/$E$25</f>
        <v>0</v>
      </c>
      <c r="M26" s="138">
        <f>+M27</f>
        <v>0</v>
      </c>
      <c r="N26" s="137">
        <f>M26/$E$25</f>
        <v>0</v>
      </c>
      <c r="O26" s="138">
        <f>+O27</f>
        <v>0</v>
      </c>
      <c r="P26" s="137">
        <f>O26/$E$25</f>
        <v>0</v>
      </c>
      <c r="Q26" s="138">
        <f>+Q27</f>
        <v>0</v>
      </c>
      <c r="R26" s="137">
        <f>Q26/$E$25</f>
        <v>0</v>
      </c>
      <c r="S26" s="138">
        <f>+S27</f>
        <v>0</v>
      </c>
      <c r="T26" s="137">
        <f>S26/$E$25</f>
        <v>0</v>
      </c>
      <c r="U26" s="138">
        <f>+U27</f>
        <v>0</v>
      </c>
      <c r="V26" s="137">
        <f>U26/$E$25</f>
        <v>0</v>
      </c>
      <c r="W26" s="138">
        <f>+W27</f>
        <v>0</v>
      </c>
      <c r="X26" s="137">
        <f>W26/$E$25</f>
        <v>0</v>
      </c>
      <c r="Y26" s="138">
        <f>+Y27</f>
        <v>0</v>
      </c>
      <c r="Z26" s="137">
        <f>Y26/$E$25</f>
        <v>0</v>
      </c>
      <c r="AA26" s="138">
        <f>+AA27</f>
        <v>0</v>
      </c>
      <c r="AB26" s="137">
        <f>AA26/$E$25</f>
        <v>0</v>
      </c>
      <c r="AC26" s="138">
        <f>+AC27</f>
        <v>0</v>
      </c>
      <c r="AD26" s="137">
        <f>AC26/$E$25</f>
        <v>0</v>
      </c>
    </row>
    <row r="27" spans="1:30" ht="13.2" hidden="1" customHeight="1" outlineLevel="1" x14ac:dyDescent="0.25">
      <c r="A27" s="174"/>
      <c r="B27" s="120" t="s">
        <v>184</v>
      </c>
      <c r="C27" s="120" t="s">
        <v>349</v>
      </c>
      <c r="E27" s="139"/>
      <c r="F27" s="129"/>
      <c r="G27" s="139"/>
      <c r="H27" s="129"/>
      <c r="I27" s="139"/>
      <c r="J27" s="129"/>
      <c r="K27" s="139"/>
      <c r="L27" s="129"/>
      <c r="M27" s="139"/>
      <c r="N27" s="129"/>
      <c r="O27" s="139"/>
      <c r="P27" s="129"/>
      <c r="Q27" s="139"/>
      <c r="R27" s="129"/>
      <c r="S27" s="139"/>
      <c r="T27" s="129"/>
      <c r="U27" s="139"/>
      <c r="V27" s="129"/>
      <c r="W27" s="139"/>
      <c r="X27" s="129"/>
      <c r="Y27" s="139"/>
      <c r="Z27" s="129"/>
      <c r="AA27" s="139"/>
      <c r="AB27" s="129"/>
      <c r="AC27" s="139">
        <f t="shared" ref="AC27" si="1">+E27+G27+I27+K27+M27+O27+Q27+S27+U27+W27+Y27+AA27</f>
        <v>0</v>
      </c>
      <c r="AD27" s="129"/>
    </row>
    <row r="28" spans="1:30" ht="13.2" collapsed="1" x14ac:dyDescent="0.25">
      <c r="A28" s="174"/>
      <c r="B28" s="123"/>
      <c r="C28" s="124" t="s">
        <v>185</v>
      </c>
      <c r="D28" s="137"/>
      <c r="E28" s="140">
        <f>SUM(E29:E35)</f>
        <v>511.99932199173656</v>
      </c>
      <c r="F28" s="137">
        <f>E28/$E$25</f>
        <v>4.6977155675502716E-2</v>
      </c>
      <c r="G28" s="140">
        <f>SUM(G29:G35)</f>
        <v>510.49082214476874</v>
      </c>
      <c r="H28" s="137">
        <f>G28/$E$25</f>
        <v>4.6838747226304378E-2</v>
      </c>
      <c r="I28" s="140">
        <f>SUM(I29:I35)</f>
        <v>510.49082214476874</v>
      </c>
      <c r="J28" s="137">
        <f>I28/$E$25</f>
        <v>4.6838747226304378E-2</v>
      </c>
      <c r="K28" s="140">
        <f>SUM(K29:K35)</f>
        <v>510.49082214476874</v>
      </c>
      <c r="L28" s="137">
        <f>K28/$E$25</f>
        <v>4.6838747226304378E-2</v>
      </c>
      <c r="M28" s="140">
        <f>SUM(M29:M35)</f>
        <v>510.49082214476874</v>
      </c>
      <c r="N28" s="137">
        <f>M28/$E$25</f>
        <v>4.6838747226304378E-2</v>
      </c>
      <c r="O28" s="140">
        <f>SUM(O29:O35)</f>
        <v>510.49082214476874</v>
      </c>
      <c r="P28" s="137">
        <f>O28/$E$25</f>
        <v>4.6838747226304378E-2</v>
      </c>
      <c r="Q28" s="140">
        <f>SUM(Q29:Q35)</f>
        <v>510.49082214476874</v>
      </c>
      <c r="R28" s="137">
        <f>Q28/$E$25</f>
        <v>4.6838747226304378E-2</v>
      </c>
      <c r="S28" s="140">
        <f>SUM(S29:S35)</f>
        <v>510.49082214476874</v>
      </c>
      <c r="T28" s="137">
        <f>S28/$E$25</f>
        <v>4.6838747226304378E-2</v>
      </c>
      <c r="U28" s="140">
        <f>SUM(U29:U35)</f>
        <v>510.49082214476874</v>
      </c>
      <c r="V28" s="137">
        <f>U28/$E$25</f>
        <v>4.6838747226304378E-2</v>
      </c>
      <c r="W28" s="140">
        <f>SUM(W29:W35)</f>
        <v>510.49082214476874</v>
      </c>
      <c r="X28" s="137">
        <f>W28/$E$25</f>
        <v>4.6838747226304378E-2</v>
      </c>
      <c r="Y28" s="140">
        <f>SUM(Y29:Y35)</f>
        <v>510.49082214476874</v>
      </c>
      <c r="Z28" s="137">
        <f>Y28/$E$25</f>
        <v>4.6838747226304378E-2</v>
      </c>
      <c r="AA28" s="140">
        <f>SUM(AA29:AA35)</f>
        <v>510.49082214476874</v>
      </c>
      <c r="AB28" s="137">
        <f>AA28/$E$25</f>
        <v>4.6838747226304378E-2</v>
      </c>
      <c r="AC28" s="140">
        <f>SUM(AC29:AC35)</f>
        <v>6127.398365584193</v>
      </c>
      <c r="AD28" s="137">
        <f>AC28/$E$25</f>
        <v>0.56220337516485086</v>
      </c>
    </row>
    <row r="29" spans="1:30" ht="13.2" x14ac:dyDescent="0.25">
      <c r="A29" s="174"/>
      <c r="B29" s="164" t="s">
        <v>186</v>
      </c>
      <c r="C29" s="164" t="s">
        <v>350</v>
      </c>
      <c r="E29" s="159">
        <f>+'BUSINESS TO BUSINESS'!$W$3+'PRIVATE CUSTOMER (BtoC)'!$W$3</f>
        <v>1.0300986691733474</v>
      </c>
      <c r="F29" s="129"/>
      <c r="G29" s="159">
        <f>+'BUSINESS TO BUSINESS'!$W$32+'PRIVATE CUSTOMER (BtoC)'!$W$32</f>
        <v>0.99564367185572245</v>
      </c>
      <c r="H29" s="129"/>
      <c r="I29" s="159">
        <f>+'BUSINESS TO BUSINESS'!$W$61+'PRIVATE CUSTOMER (BtoC)'!$W$61</f>
        <v>0.99564367185572245</v>
      </c>
      <c r="J29" s="129"/>
      <c r="K29" s="159">
        <f>+'BUSINESS TO BUSINESS'!$W$90+'PRIVATE CUSTOMER (BtoC)'!$W$90</f>
        <v>0.99564367185572245</v>
      </c>
      <c r="L29" s="129"/>
      <c r="M29" s="159">
        <f>+'BUSINESS TO BUSINESS'!$W$119+'PRIVATE CUSTOMER (BtoC)'!$W$119</f>
        <v>0.99564367185572245</v>
      </c>
      <c r="N29" s="129"/>
      <c r="O29" s="159">
        <f>+'BUSINESS TO BUSINESS'!$W$148+'PRIVATE CUSTOMER (BtoC)'!$W$148</f>
        <v>0.99564367185572245</v>
      </c>
      <c r="P29" s="129"/>
      <c r="Q29" s="159">
        <f>+'BUSINESS TO BUSINESS'!$W$177+'PRIVATE CUSTOMER (BtoC)'!$W$177</f>
        <v>0.99564367185572245</v>
      </c>
      <c r="R29" s="129"/>
      <c r="S29" s="159">
        <f>+'BUSINESS TO BUSINESS'!$W$206+'PRIVATE CUSTOMER (BtoC)'!$W$206</f>
        <v>0.99564367185572245</v>
      </c>
      <c r="T29" s="129"/>
      <c r="U29" s="159">
        <f>+'BUSINESS TO BUSINESS'!$W$235+'PRIVATE CUSTOMER (BtoC)'!$W$235</f>
        <v>0.99564367185572245</v>
      </c>
      <c r="V29" s="129"/>
      <c r="W29" s="159">
        <f>+'BUSINESS TO BUSINESS'!$W$264+'PRIVATE CUSTOMER (BtoC)'!$W$264</f>
        <v>0.99564367185572245</v>
      </c>
      <c r="X29" s="129"/>
      <c r="Y29" s="159">
        <f>+'BUSINESS TO BUSINESS'!$W$293+'PRIVATE CUSTOMER (BtoC)'!$W$293</f>
        <v>0.99564367185572245</v>
      </c>
      <c r="Z29" s="129"/>
      <c r="AA29" s="159">
        <f>+'BUSINESS TO BUSINESS'!$W$322+'PRIVATE CUSTOMER (BtoC)'!$W$322</f>
        <v>0.99564367185572245</v>
      </c>
      <c r="AB29" s="129"/>
      <c r="AC29" s="159">
        <f>+E29+G29+I29+K29+M29+O29+Q29+S29+U29+W29+Y29+AA29</f>
        <v>11.982179059586295</v>
      </c>
      <c r="AD29" s="129"/>
    </row>
    <row r="30" spans="1:30" ht="13.2" x14ac:dyDescent="0.25">
      <c r="A30" s="174"/>
      <c r="B30" s="164" t="s">
        <v>187</v>
      </c>
      <c r="C30" s="164" t="s">
        <v>351</v>
      </c>
      <c r="E30" s="159">
        <f>+'BUSINESS TO BUSINESS'!$AB$3+'PRIVATE CUSTOMER (BtoC)'!$AB$3</f>
        <v>468</v>
      </c>
      <c r="F30" s="129"/>
      <c r="G30" s="159">
        <f>+'BUSINESS TO BUSINESS'!$AB$32+'PRIVATE CUSTOMER (BtoC)'!$AB$32</f>
        <v>468</v>
      </c>
      <c r="H30" s="129"/>
      <c r="I30" s="159">
        <f>+'BUSINESS TO BUSINESS'!$AB$61+'PRIVATE CUSTOMER (BtoC)'!$AB$61</f>
        <v>468</v>
      </c>
      <c r="J30" s="129"/>
      <c r="K30" s="159">
        <f>+'BUSINESS TO BUSINESS'!$AB$90+'PRIVATE CUSTOMER (BtoC)'!$AB$90</f>
        <v>468</v>
      </c>
      <c r="L30" s="129"/>
      <c r="M30" s="159">
        <f>+'BUSINESS TO BUSINESS'!$AB$119+'PRIVATE CUSTOMER (BtoC)'!$AB$119</f>
        <v>468</v>
      </c>
      <c r="N30" s="129"/>
      <c r="O30" s="159">
        <f>+'BUSINESS TO BUSINESS'!$AB$148+'PRIVATE CUSTOMER (BtoC)'!$AB$148</f>
        <v>468</v>
      </c>
      <c r="P30" s="129"/>
      <c r="Q30" s="159">
        <f>+'BUSINESS TO BUSINESS'!$AB$177+'PRIVATE CUSTOMER (BtoC)'!$AB$177</f>
        <v>468</v>
      </c>
      <c r="R30" s="129"/>
      <c r="S30" s="159">
        <f>+'BUSINESS TO BUSINESS'!$AB$206+'PRIVATE CUSTOMER (BtoC)'!$AB$206</f>
        <v>468</v>
      </c>
      <c r="T30" s="129"/>
      <c r="U30" s="159">
        <f>+'BUSINESS TO BUSINESS'!$AB$235+'PRIVATE CUSTOMER (BtoC)'!$AB$235</f>
        <v>468</v>
      </c>
      <c r="V30" s="129"/>
      <c r="W30" s="159">
        <f>+'BUSINESS TO BUSINESS'!$AB$264+'PRIVATE CUSTOMER (BtoC)'!$AB$264</f>
        <v>468</v>
      </c>
      <c r="X30" s="129"/>
      <c r="Y30" s="159">
        <f>+'BUSINESS TO BUSINESS'!$AB$293+'PRIVATE CUSTOMER (BtoC)'!$AB$293</f>
        <v>468</v>
      </c>
      <c r="Z30" s="129"/>
      <c r="AA30" s="159">
        <f>+'BUSINESS TO BUSINESS'!$AB$322+'PRIVATE CUSTOMER (BtoC)'!$AB$322</f>
        <v>468</v>
      </c>
      <c r="AB30" s="129"/>
      <c r="AC30" s="159">
        <f t="shared" ref="AC30:AC47" si="2">+E30+G30+I30+K30+M30+O30+Q30+S30+U30+W30+Y30+AA30</f>
        <v>5616</v>
      </c>
      <c r="AD30" s="129"/>
    </row>
    <row r="31" spans="1:30" ht="13.2" hidden="1" outlineLevel="1" x14ac:dyDescent="0.25">
      <c r="A31" s="174"/>
      <c r="B31" s="120" t="s">
        <v>188</v>
      </c>
      <c r="C31" s="120" t="s">
        <v>189</v>
      </c>
      <c r="E31" s="139"/>
      <c r="F31" s="129"/>
      <c r="G31" s="139"/>
      <c r="H31" s="129"/>
      <c r="I31" s="139"/>
      <c r="J31" s="129"/>
      <c r="K31" s="139"/>
      <c r="L31" s="129"/>
      <c r="M31" s="139"/>
      <c r="N31" s="129"/>
      <c r="O31" s="139"/>
      <c r="P31" s="129"/>
      <c r="Q31" s="139"/>
      <c r="R31" s="129"/>
      <c r="S31" s="139"/>
      <c r="T31" s="129"/>
      <c r="U31" s="139"/>
      <c r="V31" s="129"/>
      <c r="W31" s="139"/>
      <c r="X31" s="129"/>
      <c r="Y31" s="139"/>
      <c r="Z31" s="129"/>
      <c r="AA31" s="139"/>
      <c r="AB31" s="129"/>
      <c r="AC31" s="139">
        <f t="shared" si="2"/>
        <v>0</v>
      </c>
      <c r="AD31" s="129"/>
    </row>
    <row r="32" spans="1:30" ht="13.2" hidden="1" outlineLevel="1" x14ac:dyDescent="0.25">
      <c r="A32" s="174"/>
      <c r="B32" s="120" t="s">
        <v>190</v>
      </c>
      <c r="C32" s="127" t="s">
        <v>192</v>
      </c>
      <c r="E32" s="139"/>
      <c r="F32" s="129"/>
      <c r="G32" s="139"/>
      <c r="H32" s="129"/>
      <c r="I32" s="139"/>
      <c r="J32" s="129"/>
      <c r="K32" s="139"/>
      <c r="L32" s="129"/>
      <c r="M32" s="139"/>
      <c r="N32" s="129"/>
      <c r="O32" s="139"/>
      <c r="P32" s="129"/>
      <c r="Q32" s="139"/>
      <c r="R32" s="129"/>
      <c r="S32" s="139"/>
      <c r="T32" s="129"/>
      <c r="U32" s="139"/>
      <c r="V32" s="129"/>
      <c r="W32" s="139"/>
      <c r="X32" s="129"/>
      <c r="Y32" s="139"/>
      <c r="Z32" s="129"/>
      <c r="AA32" s="139"/>
      <c r="AB32" s="129"/>
      <c r="AC32" s="139">
        <f t="shared" si="2"/>
        <v>0</v>
      </c>
      <c r="AD32" s="129"/>
    </row>
    <row r="33" spans="1:30" ht="13.2" collapsed="1" x14ac:dyDescent="0.25">
      <c r="A33" s="174"/>
      <c r="B33" s="164" t="s">
        <v>352</v>
      </c>
      <c r="C33" s="164" t="s">
        <v>445</v>
      </c>
      <c r="E33" s="159">
        <f>+'BUSINESS TO BUSINESS'!$AA$3+'PRIVATE CUSTOMER (BtoC)'!$AA$3</f>
        <v>18.889664560077492</v>
      </c>
      <c r="F33" s="129"/>
      <c r="G33" s="159">
        <f>+'BUSINESS TO BUSINESS'!$AA$32+'PRIVATE CUSTOMER (BtoC)'!$AA$32</f>
        <v>18.889429234236815</v>
      </c>
      <c r="H33" s="129"/>
      <c r="I33" s="159">
        <f>+'BUSINESS TO BUSINESS'!$AA$61+'PRIVATE CUSTOMER (BtoC)'!$AA$61</f>
        <v>18.889429234236815</v>
      </c>
      <c r="J33" s="129"/>
      <c r="K33" s="159">
        <f>+'BUSINESS TO BUSINESS'!$AA$90+'PRIVATE CUSTOMER (BtoC)'!$AA$90</f>
        <v>18.889429234236815</v>
      </c>
      <c r="L33" s="129"/>
      <c r="M33" s="159">
        <f>+'BUSINESS TO BUSINESS'!$AA$119+'PRIVATE CUSTOMER (BtoC)'!$AA$119</f>
        <v>18.889429234236815</v>
      </c>
      <c r="N33" s="129"/>
      <c r="O33" s="159">
        <f>+'BUSINESS TO BUSINESS'!$AA$148+'PRIVATE CUSTOMER (BtoC)'!$AA$148</f>
        <v>18.889429234236815</v>
      </c>
      <c r="P33" s="129"/>
      <c r="Q33" s="159">
        <f>+'BUSINESS TO BUSINESS'!$AA$177+'PRIVATE CUSTOMER (BtoC)'!$AA$177</f>
        <v>18.889429234236815</v>
      </c>
      <c r="R33" s="129"/>
      <c r="S33" s="159">
        <f>+'BUSINESS TO BUSINESS'!$AA$206+'PRIVATE CUSTOMER (BtoC)'!$AA$206</f>
        <v>18.889429234236815</v>
      </c>
      <c r="T33" s="129"/>
      <c r="U33" s="159">
        <f>+'BUSINESS TO BUSINESS'!$AA$235+'PRIVATE CUSTOMER (BtoC)'!$AA$235</f>
        <v>18.889429234236815</v>
      </c>
      <c r="V33" s="129"/>
      <c r="W33" s="159">
        <f>+'BUSINESS TO BUSINESS'!$AA$264+'PRIVATE CUSTOMER (BtoC)'!$AA$264</f>
        <v>18.889429234236815</v>
      </c>
      <c r="X33" s="129"/>
      <c r="Y33" s="159">
        <f>+'BUSINESS TO BUSINESS'!$AA$293+'PRIVATE CUSTOMER (BtoC)'!$AA$293</f>
        <v>18.889429234236815</v>
      </c>
      <c r="Z33" s="129"/>
      <c r="AA33" s="159">
        <f>+'BUSINESS TO BUSINESS'!$AA$322+'PRIVATE CUSTOMER (BtoC)'!$AA$322</f>
        <v>18.889429234236815</v>
      </c>
      <c r="AB33" s="129"/>
      <c r="AC33" s="159">
        <f t="shared" si="2"/>
        <v>226.67338613668247</v>
      </c>
      <c r="AD33" s="129"/>
    </row>
    <row r="34" spans="1:30" ht="13.2" x14ac:dyDescent="0.25">
      <c r="A34" s="174"/>
      <c r="B34" s="164" t="s">
        <v>191</v>
      </c>
      <c r="C34" s="164" t="s">
        <v>84</v>
      </c>
      <c r="E34" s="159">
        <f>+'BUSINESS TO BUSINESS'!$Z$3+'PRIVATE CUSTOMER (BtoC)'!$Z$3</f>
        <v>24.079558762485714</v>
      </c>
      <c r="F34" s="129"/>
      <c r="G34" s="159">
        <f>+'BUSINESS TO BUSINESS'!$Z$32+'PRIVATE CUSTOMER (BtoC)'!$Z$32</f>
        <v>22.605749238676189</v>
      </c>
      <c r="H34" s="129"/>
      <c r="I34" s="159">
        <f>+'BUSINESS TO BUSINESS'!$Z$61+'PRIVATE CUSTOMER (BtoC)'!$Z$61</f>
        <v>22.605749238676189</v>
      </c>
      <c r="J34" s="129"/>
      <c r="K34" s="159">
        <f>+'BUSINESS TO BUSINESS'!$Z$90+'PRIVATE CUSTOMER (BtoC)'!$Z$90</f>
        <v>22.605749238676189</v>
      </c>
      <c r="L34" s="129"/>
      <c r="M34" s="159">
        <f>+'BUSINESS TO BUSINESS'!$Z$119+'PRIVATE CUSTOMER (BtoC)'!$Z$119</f>
        <v>22.605749238676189</v>
      </c>
      <c r="N34" s="129"/>
      <c r="O34" s="159">
        <f>+'BUSINESS TO BUSINESS'!$Z$148+'PRIVATE CUSTOMER (BtoC)'!$Z$148</f>
        <v>22.605749238676189</v>
      </c>
      <c r="P34" s="129"/>
      <c r="Q34" s="159">
        <f>+'BUSINESS TO BUSINESS'!$Z$177+'PRIVATE CUSTOMER (BtoC)'!$Z$177</f>
        <v>22.605749238676189</v>
      </c>
      <c r="R34" s="129"/>
      <c r="S34" s="159">
        <f>+'BUSINESS TO BUSINESS'!$Z$206+'PRIVATE CUSTOMER (BtoC)'!$Z$206</f>
        <v>22.605749238676189</v>
      </c>
      <c r="T34" s="129"/>
      <c r="U34" s="159">
        <f>+'BUSINESS TO BUSINESS'!$Z$235+'PRIVATE CUSTOMER (BtoC)'!$Z$235</f>
        <v>22.605749238676189</v>
      </c>
      <c r="V34" s="129"/>
      <c r="W34" s="159">
        <f>+'BUSINESS TO BUSINESS'!$Z$264+'PRIVATE CUSTOMER (BtoC)'!$Z$264</f>
        <v>22.605749238676189</v>
      </c>
      <c r="X34" s="129"/>
      <c r="Y34" s="159">
        <f>+'BUSINESS TO BUSINESS'!$Z$293+'PRIVATE CUSTOMER (BtoC)'!$Z$293</f>
        <v>22.605749238676189</v>
      </c>
      <c r="Z34" s="129"/>
      <c r="AA34" s="159">
        <f>+'BUSINESS TO BUSINESS'!$Z$322+'PRIVATE CUSTOMER (BtoC)'!$Z$322</f>
        <v>22.605749238676189</v>
      </c>
      <c r="AB34" s="129"/>
      <c r="AC34" s="159">
        <f t="shared" si="2"/>
        <v>272.74280038792386</v>
      </c>
      <c r="AD34" s="129"/>
    </row>
    <row r="35" spans="1:30" ht="13.2" hidden="1" outlineLevel="1" x14ac:dyDescent="0.25">
      <c r="A35" s="174"/>
      <c r="B35" s="120" t="s">
        <v>446</v>
      </c>
      <c r="C35" s="127" t="s">
        <v>193</v>
      </c>
      <c r="E35" s="139"/>
      <c r="F35" s="129"/>
      <c r="G35" s="139"/>
      <c r="H35" s="129"/>
      <c r="I35" s="139"/>
      <c r="J35" s="129"/>
      <c r="K35" s="139"/>
      <c r="L35" s="129"/>
      <c r="M35" s="139"/>
      <c r="N35" s="129"/>
      <c r="O35" s="139"/>
      <c r="P35" s="129"/>
      <c r="Q35" s="139"/>
      <c r="R35" s="129"/>
      <c r="S35" s="139"/>
      <c r="T35" s="129"/>
      <c r="U35" s="139"/>
      <c r="V35" s="129"/>
      <c r="W35" s="139"/>
      <c r="X35" s="129"/>
      <c r="Y35" s="139"/>
      <c r="Z35" s="129"/>
      <c r="AA35" s="139"/>
      <c r="AB35" s="129"/>
      <c r="AC35" s="139">
        <f t="shared" si="2"/>
        <v>0</v>
      </c>
      <c r="AD35" s="129"/>
    </row>
    <row r="36" spans="1:30" ht="13.2" collapsed="1" x14ac:dyDescent="0.25">
      <c r="A36" s="174"/>
      <c r="B36" s="123"/>
      <c r="C36" s="124" t="s">
        <v>194</v>
      </c>
      <c r="D36" s="137"/>
      <c r="E36" s="140">
        <f>SUM(E37:E39)</f>
        <v>1451.0475000000006</v>
      </c>
      <c r="F36" s="137">
        <f>E36/$E$25</f>
        <v>0.13313705970327286</v>
      </c>
      <c r="G36" s="140">
        <f>SUM(G37:G39)</f>
        <v>1353.5550000000003</v>
      </c>
      <c r="H36" s="137">
        <f>G36/$E$25</f>
        <v>0.12419189092477226</v>
      </c>
      <c r="I36" s="140">
        <f>SUM(I37:I39)</f>
        <v>1353.5550000000003</v>
      </c>
      <c r="J36" s="137">
        <f>I36/$E$25</f>
        <v>0.12419189092477226</v>
      </c>
      <c r="K36" s="140">
        <f>SUM(K37:K39)</f>
        <v>1353.5550000000003</v>
      </c>
      <c r="L36" s="137">
        <f>K36/$E$25</f>
        <v>0.12419189092477226</v>
      </c>
      <c r="M36" s="140">
        <f>SUM(M37:M39)</f>
        <v>1353.5550000000003</v>
      </c>
      <c r="N36" s="137">
        <f>M36/$E$25</f>
        <v>0.12419189092477226</v>
      </c>
      <c r="O36" s="140">
        <f>SUM(O37:O39)</f>
        <v>1353.5550000000003</v>
      </c>
      <c r="P36" s="137">
        <f>O36/$E$25</f>
        <v>0.12419189092477226</v>
      </c>
      <c r="Q36" s="140">
        <f>SUM(Q37:Q39)</f>
        <v>1353.5550000000003</v>
      </c>
      <c r="R36" s="137">
        <f>Q36/$E$25</f>
        <v>0.12419189092477226</v>
      </c>
      <c r="S36" s="140">
        <f>SUM(S37:S39)</f>
        <v>1353.5550000000003</v>
      </c>
      <c r="T36" s="137">
        <f>S36/$E$25</f>
        <v>0.12419189092477226</v>
      </c>
      <c r="U36" s="140">
        <f>SUM(U37:U39)</f>
        <v>1353.5550000000003</v>
      </c>
      <c r="V36" s="137">
        <f>U36/$E$25</f>
        <v>0.12419189092477226</v>
      </c>
      <c r="W36" s="140">
        <f>SUM(W37:W39)</f>
        <v>1353.5550000000003</v>
      </c>
      <c r="X36" s="137">
        <f>W36/$E$25</f>
        <v>0.12419189092477226</v>
      </c>
      <c r="Y36" s="140">
        <f>SUM(Y37:Y39)</f>
        <v>1353.5550000000003</v>
      </c>
      <c r="Z36" s="137">
        <f>Y36/$E$25</f>
        <v>0.12419189092477226</v>
      </c>
      <c r="AA36" s="140">
        <f>SUM(AA37:AA39)</f>
        <v>1353.5550000000003</v>
      </c>
      <c r="AB36" s="137">
        <f>AA36/$E$25</f>
        <v>0.12419189092477226</v>
      </c>
      <c r="AC36" s="140">
        <f>SUM(AC37:AC39)</f>
        <v>16340.152500000004</v>
      </c>
      <c r="AD36" s="137">
        <f>AC36/$E$25</f>
        <v>1.4992478598757677</v>
      </c>
    </row>
    <row r="37" spans="1:30" ht="13.2" x14ac:dyDescent="0.25">
      <c r="A37" s="175">
        <v>0.46</v>
      </c>
      <c r="B37" s="164" t="s">
        <v>195</v>
      </c>
      <c r="C37" s="164" t="s">
        <v>357</v>
      </c>
      <c r="E37" s="159">
        <f>+('BUSINESS TO BUSINESS'!X3+'PRIVATE CUSTOMER (BtoC)'!X3)*A37</f>
        <v>667.48185000000024</v>
      </c>
      <c r="F37" s="129"/>
      <c r="G37" s="159">
        <f>+('BUSINESS TO BUSINESS'!$X$32+'PRIVATE CUSTOMER (BtoC)'!$X$32)*'INCOME STATEMENT'!$A$37</f>
        <v>622.63530000000014</v>
      </c>
      <c r="H37" s="129"/>
      <c r="I37" s="159">
        <f>+('BUSINESS TO BUSINESS'!$X$61+'PRIVATE CUSTOMER (BtoC)'!$X$61)*'INCOME STATEMENT'!$A37</f>
        <v>622.63530000000014</v>
      </c>
      <c r="J37" s="129"/>
      <c r="K37" s="159">
        <f>+('BUSINESS TO BUSINESS'!$X$90+'PRIVATE CUSTOMER (BtoC)'!$X$90)*'INCOME STATEMENT'!$A37</f>
        <v>622.63530000000014</v>
      </c>
      <c r="L37" s="129"/>
      <c r="M37" s="159">
        <f>+('BUSINESS TO BUSINESS'!$X$119+'PRIVATE CUSTOMER (BtoC)'!$X$119)*'INCOME STATEMENT'!$A37</f>
        <v>622.63530000000014</v>
      </c>
      <c r="N37" s="129"/>
      <c r="O37" s="159">
        <f>+('BUSINESS TO BUSINESS'!$X$148+'PRIVATE CUSTOMER (BtoC)'!$X$148)*'INCOME STATEMENT'!$A37</f>
        <v>622.63530000000014</v>
      </c>
      <c r="P37" s="129"/>
      <c r="Q37" s="159">
        <f>+('BUSINESS TO BUSINESS'!$X$177+'PRIVATE CUSTOMER (BtoC)'!$X$177)*'INCOME STATEMENT'!$A37</f>
        <v>622.63530000000014</v>
      </c>
      <c r="R37" s="129"/>
      <c r="S37" s="159">
        <f>+('BUSINESS TO BUSINESS'!$X$206+'PRIVATE CUSTOMER (BtoC)'!$X$206)*'INCOME STATEMENT'!$A37</f>
        <v>622.63530000000014</v>
      </c>
      <c r="T37" s="129"/>
      <c r="U37" s="159">
        <f>+('BUSINESS TO BUSINESS'!$X$235+'PRIVATE CUSTOMER (BtoC)'!$X$235)*'INCOME STATEMENT'!$A37</f>
        <v>622.63530000000014</v>
      </c>
      <c r="V37" s="129"/>
      <c r="W37" s="159">
        <f>+('BUSINESS TO BUSINESS'!$X$264+'PRIVATE CUSTOMER (BtoC)'!$X$264)*'INCOME STATEMENT'!$A37</f>
        <v>622.63530000000014</v>
      </c>
      <c r="X37" s="129"/>
      <c r="Y37" s="159">
        <f>+('BUSINESS TO BUSINESS'!$X$293+'PRIVATE CUSTOMER (BtoC)'!$X$293)*'INCOME STATEMENT'!$A37</f>
        <v>622.63530000000014</v>
      </c>
      <c r="Z37" s="129"/>
      <c r="AA37" s="159">
        <f>+('BUSINESS TO BUSINESS'!$X$322+'PRIVATE CUSTOMER (BtoC)'!$X$322)*'INCOME STATEMENT'!$A37</f>
        <v>622.63530000000014</v>
      </c>
      <c r="AB37" s="129"/>
      <c r="AC37" s="159">
        <f t="shared" si="2"/>
        <v>7516.4701500000001</v>
      </c>
      <c r="AD37" s="129"/>
    </row>
    <row r="38" spans="1:30" ht="13.2" x14ac:dyDescent="0.25">
      <c r="A38" s="176">
        <v>0.54</v>
      </c>
      <c r="B38" s="164" t="s">
        <v>353</v>
      </c>
      <c r="C38" s="164" t="s">
        <v>358</v>
      </c>
      <c r="E38" s="159">
        <f>+('BUSINESS TO BUSINESS'!X3+'PRIVATE CUSTOMER (BtoC)'!X3)*'INCOME STATEMENT'!A38</f>
        <v>783.56565000000023</v>
      </c>
      <c r="F38" s="129"/>
      <c r="G38" s="159">
        <f>+('BUSINESS TO BUSINESS'!$X$32+'PRIVATE CUSTOMER (BtoC)'!$X$32)*'INCOME STATEMENT'!$A$38</f>
        <v>730.91970000000026</v>
      </c>
      <c r="H38" s="129"/>
      <c r="I38" s="159">
        <f>+('BUSINESS TO BUSINESS'!$X$61+'PRIVATE CUSTOMER (BtoC)'!$X$61)*'INCOME STATEMENT'!$A38</f>
        <v>730.91970000000026</v>
      </c>
      <c r="J38" s="129"/>
      <c r="K38" s="159">
        <f>+('BUSINESS TO BUSINESS'!$X$90+'PRIVATE CUSTOMER (BtoC)'!$X$90)*'INCOME STATEMENT'!$A38</f>
        <v>730.91970000000026</v>
      </c>
      <c r="L38" s="129"/>
      <c r="M38" s="159">
        <f>+('BUSINESS TO BUSINESS'!$X$119+'PRIVATE CUSTOMER (BtoC)'!$X$119)*'INCOME STATEMENT'!$A38</f>
        <v>730.91970000000026</v>
      </c>
      <c r="N38" s="129"/>
      <c r="O38" s="159">
        <f>+('BUSINESS TO BUSINESS'!$X$148+'PRIVATE CUSTOMER (BtoC)'!$X$148)*'INCOME STATEMENT'!$A38</f>
        <v>730.91970000000026</v>
      </c>
      <c r="P38" s="129"/>
      <c r="Q38" s="159">
        <f>+('BUSINESS TO BUSINESS'!$X$177+'PRIVATE CUSTOMER (BtoC)'!$X$177)*'INCOME STATEMENT'!$A38</f>
        <v>730.91970000000026</v>
      </c>
      <c r="R38" s="129"/>
      <c r="S38" s="159">
        <f>+('BUSINESS TO BUSINESS'!$X$206+'PRIVATE CUSTOMER (BtoC)'!$X$206)*'INCOME STATEMENT'!$A38</f>
        <v>730.91970000000026</v>
      </c>
      <c r="T38" s="129"/>
      <c r="U38" s="159">
        <f>+('BUSINESS TO BUSINESS'!$X$235+'PRIVATE CUSTOMER (BtoC)'!$X$235)*'INCOME STATEMENT'!$A38</f>
        <v>730.91970000000026</v>
      </c>
      <c r="V38" s="129"/>
      <c r="W38" s="159">
        <f>+('BUSINESS TO BUSINESS'!$X$264+'PRIVATE CUSTOMER (BtoC)'!$X$264)*'INCOME STATEMENT'!$A38</f>
        <v>730.91970000000026</v>
      </c>
      <c r="X38" s="129"/>
      <c r="Y38" s="159">
        <f>+('BUSINESS TO BUSINESS'!$X$293+'PRIVATE CUSTOMER (BtoC)'!$X$293)*'INCOME STATEMENT'!$A38</f>
        <v>730.91970000000026</v>
      </c>
      <c r="Z38" s="129"/>
      <c r="AA38" s="159">
        <f>+('BUSINESS TO BUSINESS'!$X$322+'PRIVATE CUSTOMER (BtoC)'!$X$322)*'INCOME STATEMENT'!$A38</f>
        <v>730.91970000000026</v>
      </c>
      <c r="AB38" s="129"/>
      <c r="AC38" s="159">
        <f t="shared" si="2"/>
        <v>8823.6823500000028</v>
      </c>
      <c r="AD38" s="129"/>
    </row>
    <row r="39" spans="1:30" ht="13.2" hidden="1" outlineLevel="1" x14ac:dyDescent="0.25">
      <c r="A39" s="174"/>
      <c r="B39" s="120" t="s">
        <v>196</v>
      </c>
      <c r="C39" s="127" t="s">
        <v>197</v>
      </c>
      <c r="E39" s="139"/>
      <c r="F39" s="129"/>
      <c r="G39" s="139"/>
      <c r="H39" s="129"/>
      <c r="I39" s="139"/>
      <c r="J39" s="129"/>
      <c r="K39" s="139"/>
      <c r="L39" s="129"/>
      <c r="M39" s="139"/>
      <c r="N39" s="129"/>
      <c r="O39" s="139"/>
      <c r="P39" s="129"/>
      <c r="Q39" s="139"/>
      <c r="R39" s="129"/>
      <c r="S39" s="139"/>
      <c r="T39" s="129"/>
      <c r="U39" s="139"/>
      <c r="V39" s="129"/>
      <c r="W39" s="159">
        <f>+('BUSINESS TO BUSINESS'!$X$264+'PRIVATE CUSTOMER (BtoC)'!$X$264)*'INCOME STATEMENT'!$A39</f>
        <v>0</v>
      </c>
      <c r="X39" s="129"/>
      <c r="Y39" s="159">
        <f>+('BUSINESS TO BUSINESS'!$X$293+'PRIVATE CUSTOMER (BtoC)'!$X$293)*'INCOME STATEMENT'!$A39</f>
        <v>0</v>
      </c>
      <c r="Z39" s="129"/>
      <c r="AA39" s="139"/>
      <c r="AB39" s="129"/>
      <c r="AC39" s="139">
        <f t="shared" si="2"/>
        <v>0</v>
      </c>
      <c r="AD39" s="129"/>
    </row>
    <row r="40" spans="1:30" ht="13.2" collapsed="1" x14ac:dyDescent="0.25">
      <c r="A40" s="174"/>
      <c r="B40" s="123"/>
      <c r="C40" s="124" t="s">
        <v>198</v>
      </c>
      <c r="D40" s="137"/>
      <c r="E40" s="142">
        <f>SUM(E41:E47)</f>
        <v>77.961496111518755</v>
      </c>
      <c r="F40" s="137">
        <f>E40/$E$25</f>
        <v>7.1531527137159495E-3</v>
      </c>
      <c r="G40" s="142">
        <f>SUM(G41:G47)</f>
        <v>72.723444869466206</v>
      </c>
      <c r="H40" s="137">
        <f>G40/$E$25</f>
        <v>6.6725490526077132E-3</v>
      </c>
      <c r="I40" s="142">
        <f>SUM(I41:I47)</f>
        <v>72.723444869466206</v>
      </c>
      <c r="J40" s="137">
        <f>I40/$E$25</f>
        <v>6.6725490526077132E-3</v>
      </c>
      <c r="K40" s="142">
        <f>SUM(K41:K47)</f>
        <v>72.723444869466206</v>
      </c>
      <c r="L40" s="137">
        <f>K40/$E$25</f>
        <v>6.6725490526077132E-3</v>
      </c>
      <c r="M40" s="142">
        <f>SUM(M41:M47)</f>
        <v>72.723444869466206</v>
      </c>
      <c r="N40" s="137">
        <f>M40/$E$25</f>
        <v>6.6725490526077132E-3</v>
      </c>
      <c r="O40" s="142">
        <f>SUM(O41:O47)</f>
        <v>72.723444869466206</v>
      </c>
      <c r="P40" s="137">
        <f>O40/$E$25</f>
        <v>6.6725490526077132E-3</v>
      </c>
      <c r="Q40" s="142">
        <f>SUM(Q41:Q47)</f>
        <v>72.723444869466206</v>
      </c>
      <c r="R40" s="137">
        <f>Q40/$E$25</f>
        <v>6.6725490526077132E-3</v>
      </c>
      <c r="S40" s="142">
        <f>SUM(S41:S47)</f>
        <v>72.723444869466206</v>
      </c>
      <c r="T40" s="137">
        <f>S40/$E$25</f>
        <v>6.6725490526077132E-3</v>
      </c>
      <c r="U40" s="142">
        <f>SUM(U41:U47)</f>
        <v>72.723444869466206</v>
      </c>
      <c r="V40" s="137">
        <f>U40/$E$25</f>
        <v>6.6725490526077132E-3</v>
      </c>
      <c r="W40" s="142">
        <f>SUM(W41:W47)</f>
        <v>72.723444869466206</v>
      </c>
      <c r="X40" s="137">
        <f>W40/$E$25</f>
        <v>6.6725490526077132E-3</v>
      </c>
      <c r="Y40" s="142">
        <f>SUM(Y41:Y47)</f>
        <v>72.723444869466206</v>
      </c>
      <c r="Z40" s="137">
        <f>Y40/$E$25</f>
        <v>6.6725490526077132E-3</v>
      </c>
      <c r="AA40" s="142">
        <f>SUM(AA41:AA47)</f>
        <v>72.723444869466206</v>
      </c>
      <c r="AB40" s="137">
        <f>AA40/$E$25</f>
        <v>6.6725490526077132E-3</v>
      </c>
      <c r="AC40" s="142">
        <f>SUM(AC41:AC47)</f>
        <v>877.91938967564715</v>
      </c>
      <c r="AD40" s="137">
        <f>AC40/$E$25</f>
        <v>8.0551192292400806E-2</v>
      </c>
    </row>
    <row r="41" spans="1:30" ht="13.2" hidden="1" outlineLevel="1" x14ac:dyDescent="0.25">
      <c r="A41" s="174"/>
      <c r="B41" s="130" t="s">
        <v>225</v>
      </c>
      <c r="C41" s="127" t="s">
        <v>355</v>
      </c>
      <c r="E41" s="139"/>
      <c r="F41" s="129"/>
      <c r="G41" s="139"/>
      <c r="H41" s="129"/>
      <c r="I41" s="139"/>
      <c r="J41" s="129"/>
      <c r="K41" s="139"/>
      <c r="L41" s="129"/>
      <c r="M41" s="139"/>
      <c r="N41" s="129"/>
      <c r="O41" s="139"/>
      <c r="P41" s="129"/>
      <c r="Q41" s="139"/>
      <c r="R41" s="129"/>
      <c r="S41" s="139"/>
      <c r="T41" s="129"/>
      <c r="U41" s="139"/>
      <c r="V41" s="129"/>
      <c r="W41" s="139"/>
      <c r="X41" s="129"/>
      <c r="Y41" s="139"/>
      <c r="Z41" s="129"/>
      <c r="AA41" s="139"/>
      <c r="AB41" s="129"/>
      <c r="AC41" s="139">
        <f t="shared" si="2"/>
        <v>0</v>
      </c>
      <c r="AD41" s="129"/>
    </row>
    <row r="42" spans="1:30" ht="13.2" collapsed="1" x14ac:dyDescent="0.25">
      <c r="A42" s="174"/>
      <c r="B42" s="166" t="s">
        <v>226</v>
      </c>
      <c r="C42" s="164" t="s">
        <v>436</v>
      </c>
      <c r="E42" s="159">
        <f>+'BUSINESS TO BUSINESS'!V3+'PRIVATE CUSTOMER (BtoC)'!V3</f>
        <v>77.961496111518755</v>
      </c>
      <c r="F42" s="129"/>
      <c r="G42" s="159">
        <f>+'BUSINESS TO BUSINESS'!V32+'PRIVATE CUSTOMER (BtoC)'!V32</f>
        <v>72.723444869466206</v>
      </c>
      <c r="H42" s="129"/>
      <c r="I42" s="159">
        <f>+'BUSINESS TO BUSINESS'!V61+'PRIVATE CUSTOMER (BtoC)'!V61</f>
        <v>72.723444869466206</v>
      </c>
      <c r="J42" s="129"/>
      <c r="K42" s="159">
        <f>+'BUSINESS TO BUSINESS'!V90+'PRIVATE CUSTOMER (BtoC)'!V90</f>
        <v>72.723444869466206</v>
      </c>
      <c r="L42" s="129"/>
      <c r="M42" s="159">
        <f>+'BUSINESS TO BUSINESS'!V119+'PRIVATE CUSTOMER (BtoC)'!V119</f>
        <v>72.723444869466206</v>
      </c>
      <c r="N42" s="129"/>
      <c r="O42" s="159">
        <f>+'BUSINESS TO BUSINESS'!V148+'PRIVATE CUSTOMER (BtoC)'!V148</f>
        <v>72.723444869466206</v>
      </c>
      <c r="P42" s="129"/>
      <c r="Q42" s="159">
        <f>+'BUSINESS TO BUSINESS'!V177+'PRIVATE CUSTOMER (BtoC)'!V177</f>
        <v>72.723444869466206</v>
      </c>
      <c r="R42" s="129"/>
      <c r="S42" s="159">
        <f>+'BUSINESS TO BUSINESS'!V206+'PRIVATE CUSTOMER (BtoC)'!V206</f>
        <v>72.723444869466206</v>
      </c>
      <c r="T42" s="129"/>
      <c r="U42" s="159">
        <f>+'BUSINESS TO BUSINESS'!V235+'PRIVATE CUSTOMER (BtoC)'!V235</f>
        <v>72.723444869466206</v>
      </c>
      <c r="V42" s="129"/>
      <c r="W42" s="159">
        <f>+'BUSINESS TO BUSINESS'!V264+'PRIVATE CUSTOMER (BtoC)'!V264</f>
        <v>72.723444869466206</v>
      </c>
      <c r="X42" s="129"/>
      <c r="Y42" s="159">
        <f>+'BUSINESS TO BUSINESS'!V293+'PRIVATE CUSTOMER (BtoC)'!V293</f>
        <v>72.723444869466206</v>
      </c>
      <c r="Z42" s="129"/>
      <c r="AA42" s="159">
        <f>+'BUSINESS TO BUSINESS'!V322+'PRIVATE CUSTOMER (BtoC)'!V322</f>
        <v>72.723444869466206</v>
      </c>
      <c r="AB42" s="129"/>
      <c r="AC42" s="159">
        <f t="shared" si="2"/>
        <v>877.91938967564715</v>
      </c>
      <c r="AD42" s="129"/>
    </row>
    <row r="43" spans="1:30" ht="13.2" hidden="1" outlineLevel="1" x14ac:dyDescent="0.25">
      <c r="A43" s="174"/>
      <c r="B43" s="130" t="s">
        <v>360</v>
      </c>
      <c r="C43" s="127" t="s">
        <v>203</v>
      </c>
      <c r="E43" s="139"/>
      <c r="F43" s="129"/>
      <c r="G43" s="139"/>
      <c r="H43" s="129"/>
      <c r="I43" s="139"/>
      <c r="J43" s="129"/>
      <c r="K43" s="139"/>
      <c r="L43" s="129"/>
      <c r="M43" s="139"/>
      <c r="N43" s="129"/>
      <c r="O43" s="139"/>
      <c r="P43" s="129"/>
      <c r="Q43" s="139"/>
      <c r="R43" s="129"/>
      <c r="S43" s="139"/>
      <c r="T43" s="129"/>
      <c r="U43" s="139"/>
      <c r="V43" s="129"/>
      <c r="W43" s="139"/>
      <c r="X43" s="129"/>
      <c r="Y43" s="139"/>
      <c r="Z43" s="129"/>
      <c r="AA43" s="139"/>
      <c r="AB43" s="129"/>
      <c r="AC43" s="139">
        <f t="shared" si="2"/>
        <v>0</v>
      </c>
      <c r="AD43" s="129"/>
    </row>
    <row r="44" spans="1:30" ht="13.2" hidden="1" outlineLevel="1" x14ac:dyDescent="0.25">
      <c r="A44" s="174"/>
      <c r="B44" s="130" t="s">
        <v>228</v>
      </c>
      <c r="C44" s="120" t="s">
        <v>206</v>
      </c>
      <c r="E44" s="139"/>
      <c r="F44" s="129"/>
      <c r="G44" s="139"/>
      <c r="H44" s="129"/>
      <c r="I44" s="139"/>
      <c r="J44" s="129"/>
      <c r="K44" s="139"/>
      <c r="L44" s="129"/>
      <c r="M44" s="139"/>
      <c r="N44" s="129"/>
      <c r="O44" s="139"/>
      <c r="P44" s="129"/>
      <c r="Q44" s="139"/>
      <c r="R44" s="129"/>
      <c r="S44" s="139"/>
      <c r="T44" s="129"/>
      <c r="U44" s="139"/>
      <c r="V44" s="129"/>
      <c r="W44" s="139"/>
      <c r="X44" s="129"/>
      <c r="Y44" s="139"/>
      <c r="Z44" s="129"/>
      <c r="AA44" s="139"/>
      <c r="AB44" s="129"/>
      <c r="AC44" s="139">
        <f t="shared" si="2"/>
        <v>0</v>
      </c>
      <c r="AD44" s="129"/>
    </row>
    <row r="45" spans="1:30" ht="13.2" hidden="1" outlineLevel="1" x14ac:dyDescent="0.25">
      <c r="A45" s="174"/>
      <c r="B45" s="130" t="s">
        <v>230</v>
      </c>
      <c r="C45" s="120" t="s">
        <v>207</v>
      </c>
      <c r="E45" s="139"/>
      <c r="F45" s="129"/>
      <c r="G45" s="139"/>
      <c r="H45" s="129"/>
      <c r="I45" s="139"/>
      <c r="J45" s="129"/>
      <c r="K45" s="139"/>
      <c r="L45" s="129"/>
      <c r="M45" s="139"/>
      <c r="N45" s="129"/>
      <c r="O45" s="139"/>
      <c r="P45" s="129"/>
      <c r="Q45" s="139"/>
      <c r="R45" s="129"/>
      <c r="S45" s="139"/>
      <c r="T45" s="129"/>
      <c r="U45" s="139"/>
      <c r="V45" s="129"/>
      <c r="W45" s="139"/>
      <c r="X45" s="129"/>
      <c r="Y45" s="139"/>
      <c r="Z45" s="129"/>
      <c r="AA45" s="139"/>
      <c r="AB45" s="129"/>
      <c r="AC45" s="139">
        <f t="shared" si="2"/>
        <v>0</v>
      </c>
      <c r="AD45" s="129"/>
    </row>
    <row r="46" spans="1:30" ht="13.2" hidden="1" outlineLevel="1" x14ac:dyDescent="0.25">
      <c r="A46" s="174"/>
      <c r="B46" s="130" t="s">
        <v>361</v>
      </c>
      <c r="C46" s="120" t="s">
        <v>208</v>
      </c>
      <c r="E46" s="139"/>
      <c r="F46" s="129"/>
      <c r="G46" s="139"/>
      <c r="H46" s="129"/>
      <c r="I46" s="139"/>
      <c r="J46" s="129"/>
      <c r="K46" s="139"/>
      <c r="L46" s="129"/>
      <c r="M46" s="139"/>
      <c r="N46" s="129"/>
      <c r="O46" s="139"/>
      <c r="P46" s="129"/>
      <c r="Q46" s="139"/>
      <c r="R46" s="129"/>
      <c r="S46" s="139"/>
      <c r="T46" s="129"/>
      <c r="U46" s="139"/>
      <c r="V46" s="129"/>
      <c r="W46" s="139"/>
      <c r="X46" s="129"/>
      <c r="Y46" s="139"/>
      <c r="Z46" s="129"/>
      <c r="AA46" s="139"/>
      <c r="AB46" s="129"/>
      <c r="AC46" s="139">
        <f t="shared" si="2"/>
        <v>0</v>
      </c>
      <c r="AD46" s="129"/>
    </row>
    <row r="47" spans="1:30" ht="13.2" hidden="1" outlineLevel="1" x14ac:dyDescent="0.25">
      <c r="A47" s="174"/>
      <c r="B47" s="130" t="s">
        <v>232</v>
      </c>
      <c r="C47" s="120" t="s">
        <v>209</v>
      </c>
      <c r="E47" s="139"/>
      <c r="F47" s="129"/>
      <c r="G47" s="139"/>
      <c r="H47" s="129"/>
      <c r="I47" s="139"/>
      <c r="J47" s="129"/>
      <c r="K47" s="139"/>
      <c r="L47" s="129"/>
      <c r="M47" s="139"/>
      <c r="N47" s="129"/>
      <c r="O47" s="139"/>
      <c r="P47" s="129"/>
      <c r="Q47" s="139"/>
      <c r="R47" s="129"/>
      <c r="S47" s="139"/>
      <c r="T47" s="129"/>
      <c r="U47" s="139"/>
      <c r="V47" s="129"/>
      <c r="W47" s="139"/>
      <c r="X47" s="129"/>
      <c r="Y47" s="139"/>
      <c r="Z47" s="129"/>
      <c r="AA47" s="139"/>
      <c r="AB47" s="129"/>
      <c r="AC47" s="139">
        <f t="shared" si="2"/>
        <v>0</v>
      </c>
      <c r="AD47" s="129"/>
    </row>
    <row r="48" spans="1:30" ht="13.2" hidden="1" customHeight="1" outlineLevel="1" x14ac:dyDescent="0.25">
      <c r="A48" s="174"/>
      <c r="C48" s="124" t="s">
        <v>210</v>
      </c>
      <c r="D48" s="137"/>
      <c r="E48" s="142">
        <f>+E49</f>
        <v>0</v>
      </c>
      <c r="F48" s="137">
        <f>E48/$E$25</f>
        <v>0</v>
      </c>
      <c r="G48" s="142">
        <f>+G49</f>
        <v>0</v>
      </c>
      <c r="H48" s="137">
        <f>G48/$E$25</f>
        <v>0</v>
      </c>
      <c r="I48" s="142">
        <f>+I49</f>
        <v>0</v>
      </c>
      <c r="J48" s="137">
        <f>I48/$E$25</f>
        <v>0</v>
      </c>
      <c r="K48" s="142">
        <f>+K49</f>
        <v>0</v>
      </c>
      <c r="L48" s="137">
        <f>K48/$E$25</f>
        <v>0</v>
      </c>
      <c r="M48" s="142">
        <f>+M49</f>
        <v>0</v>
      </c>
      <c r="N48" s="137">
        <f>M48/$E$25</f>
        <v>0</v>
      </c>
      <c r="O48" s="142">
        <f>+O49</f>
        <v>0</v>
      </c>
      <c r="P48" s="137">
        <f>O48/$E$25</f>
        <v>0</v>
      </c>
      <c r="Q48" s="142">
        <f>+Q49</f>
        <v>0</v>
      </c>
      <c r="R48" s="137">
        <f>Q48/$E$25</f>
        <v>0</v>
      </c>
      <c r="S48" s="142">
        <f>+S49</f>
        <v>0</v>
      </c>
      <c r="T48" s="137">
        <f>S48/$E$25</f>
        <v>0</v>
      </c>
      <c r="U48" s="142">
        <f>+U49</f>
        <v>0</v>
      </c>
      <c r="V48" s="137">
        <f>U48/$E$25</f>
        <v>0</v>
      </c>
      <c r="W48" s="142">
        <f>+W49</f>
        <v>0</v>
      </c>
      <c r="X48" s="137">
        <f>W48/$E$25</f>
        <v>0</v>
      </c>
      <c r="Y48" s="142">
        <f>+Y49</f>
        <v>0</v>
      </c>
      <c r="Z48" s="137">
        <f>Y48/$E$25</f>
        <v>0</v>
      </c>
      <c r="AA48" s="142">
        <f>+AA49</f>
        <v>0</v>
      </c>
      <c r="AB48" s="137">
        <f>AA48/$E$25</f>
        <v>0</v>
      </c>
      <c r="AC48" s="142">
        <f>+AC49</f>
        <v>0</v>
      </c>
      <c r="AD48" s="137">
        <f>AC48/$E$25</f>
        <v>0</v>
      </c>
    </row>
    <row r="49" spans="1:30" ht="13.2" hidden="1" customHeight="1" outlineLevel="1" x14ac:dyDescent="0.25">
      <c r="A49" s="174"/>
      <c r="B49" s="120" t="s">
        <v>211</v>
      </c>
      <c r="C49" s="120" t="s">
        <v>349</v>
      </c>
      <c r="E49" s="139"/>
      <c r="F49" s="129"/>
      <c r="G49" s="139"/>
      <c r="H49" s="129"/>
      <c r="I49" s="139"/>
      <c r="J49" s="129"/>
      <c r="K49" s="139"/>
      <c r="L49" s="129"/>
      <c r="M49" s="139"/>
      <c r="N49" s="129"/>
      <c r="O49" s="139"/>
      <c r="P49" s="129"/>
      <c r="Q49" s="139"/>
      <c r="R49" s="129"/>
      <c r="S49" s="139"/>
      <c r="T49" s="129"/>
      <c r="U49" s="139"/>
      <c r="V49" s="129"/>
      <c r="W49" s="139"/>
      <c r="X49" s="129"/>
      <c r="Y49" s="139"/>
      <c r="Z49" s="129"/>
      <c r="AA49" s="139"/>
      <c r="AB49" s="129"/>
      <c r="AC49" s="139">
        <f t="shared" ref="AC49" si="3">+E49+G49+I49+K49+M49+O49+Q49+S49+U49+W49+Y49+AA49</f>
        <v>0</v>
      </c>
      <c r="AD49" s="129"/>
    </row>
    <row r="50" spans="1:30" ht="13.2" collapsed="1" x14ac:dyDescent="0.25">
      <c r="A50" s="174"/>
      <c r="E50" s="141"/>
      <c r="G50" s="141"/>
      <c r="I50" s="141"/>
      <c r="K50" s="141"/>
      <c r="M50" s="141"/>
      <c r="O50" s="141"/>
      <c r="Q50" s="141"/>
      <c r="S50" s="141"/>
      <c r="U50" s="141"/>
      <c r="W50" s="141"/>
      <c r="Y50" s="141"/>
      <c r="AA50" s="141"/>
      <c r="AC50" s="141"/>
    </row>
    <row r="51" spans="1:30" ht="13.2" x14ac:dyDescent="0.25">
      <c r="A51" s="174"/>
      <c r="C51" s="135" t="s">
        <v>212</v>
      </c>
      <c r="D51" s="143"/>
      <c r="E51" s="144">
        <f>-E26-E28-E36-E40+E48</f>
        <v>-2041.0083181032558</v>
      </c>
      <c r="F51" s="143">
        <f>-E51/$E$25</f>
        <v>0.18726736809249153</v>
      </c>
      <c r="G51" s="144">
        <f>-G26-G28-G36-G40+G48</f>
        <v>-1936.7692670142353</v>
      </c>
      <c r="H51" s="143">
        <f>-G51/$E$25</f>
        <v>0.17770318720368436</v>
      </c>
      <c r="I51" s="144">
        <f>-I26-I28-I36-I40+I48</f>
        <v>-1936.7692670142353</v>
      </c>
      <c r="J51" s="143">
        <f>-I51/$E$25</f>
        <v>0.17770318720368436</v>
      </c>
      <c r="K51" s="144">
        <f>-K26-K28-K36-K40+K48</f>
        <v>-1936.7692670142353</v>
      </c>
      <c r="L51" s="143">
        <f>-K51/$E$25</f>
        <v>0.17770318720368436</v>
      </c>
      <c r="M51" s="144">
        <f>-M26-M28-M36-M40+M48</f>
        <v>-1936.7692670142353</v>
      </c>
      <c r="N51" s="143">
        <f>-M51/$E$25</f>
        <v>0.17770318720368436</v>
      </c>
      <c r="O51" s="144">
        <f>-O26-O28-O36-O40+O48</f>
        <v>-1936.7692670142353</v>
      </c>
      <c r="P51" s="143">
        <f>-O51/$E$25</f>
        <v>0.17770318720368436</v>
      </c>
      <c r="Q51" s="144">
        <f>-Q26-Q28-Q36-Q40+Q48</f>
        <v>-1936.7692670142353</v>
      </c>
      <c r="R51" s="143">
        <f>-Q51/$E$25</f>
        <v>0.17770318720368436</v>
      </c>
      <c r="S51" s="144">
        <f>-S26-S28-S36-S40+S48</f>
        <v>-1936.7692670142353</v>
      </c>
      <c r="T51" s="143">
        <f>-S51/$E$25</f>
        <v>0.17770318720368436</v>
      </c>
      <c r="U51" s="144">
        <f>-U26-U28-U36-U40+U48</f>
        <v>-1936.7692670142353</v>
      </c>
      <c r="V51" s="143">
        <f>-U51/$E$25</f>
        <v>0.17770318720368436</v>
      </c>
      <c r="W51" s="144">
        <f>-W26-W28-W36-W40+W48</f>
        <v>-1936.7692670142353</v>
      </c>
      <c r="X51" s="143">
        <f>-W51/$E$25</f>
        <v>0.17770318720368436</v>
      </c>
      <c r="Y51" s="144">
        <f>-Y26-Y28-Y36-Y40+Y48</f>
        <v>-1936.7692670142353</v>
      </c>
      <c r="Z51" s="143">
        <f>-Y51/$E$25</f>
        <v>0.17770318720368436</v>
      </c>
      <c r="AA51" s="144">
        <f>-AA26-AA28-AA36-AA40+AA48</f>
        <v>-1936.7692670142353</v>
      </c>
      <c r="AB51" s="143">
        <f>-AA51/$E$25</f>
        <v>0.17770318720368436</v>
      </c>
      <c r="AC51" s="144">
        <f>-AC26-AC28-AC36-AC40+AC48</f>
        <v>-23345.470255259846</v>
      </c>
      <c r="AD51" s="143">
        <f>-AC51/$E$25</f>
        <v>2.1420024273330194</v>
      </c>
    </row>
    <row r="52" spans="1:30" ht="13.2" x14ac:dyDescent="0.25">
      <c r="A52" s="174"/>
      <c r="E52" s="141"/>
      <c r="G52" s="141"/>
      <c r="I52" s="141"/>
      <c r="K52" s="141"/>
      <c r="M52" s="141"/>
      <c r="O52" s="141"/>
      <c r="Q52" s="141"/>
      <c r="S52" s="141"/>
      <c r="U52" s="141"/>
      <c r="W52" s="141"/>
      <c r="Y52" s="141"/>
      <c r="AA52" s="141"/>
      <c r="AC52" s="141"/>
    </row>
    <row r="53" spans="1:30" ht="13.2" x14ac:dyDescent="0.25">
      <c r="A53" s="174"/>
      <c r="C53" s="135" t="s">
        <v>213</v>
      </c>
      <c r="D53" s="143"/>
      <c r="E53" s="145">
        <f>+E51+E25</f>
        <v>8857.8916818967446</v>
      </c>
      <c r="F53" s="143">
        <f>+E53/$E$25</f>
        <v>0.81273263190750855</v>
      </c>
      <c r="G53" s="145">
        <f>+G51+G25</f>
        <v>8782.1307329857646</v>
      </c>
      <c r="H53" s="143">
        <f>+G53/$E$25</f>
        <v>0.80578138463384053</v>
      </c>
      <c r="I53" s="145">
        <f>+I51+I25</f>
        <v>8782.1307329857646</v>
      </c>
      <c r="J53" s="143">
        <f>+I53/$E$25</f>
        <v>0.80578138463384053</v>
      </c>
      <c r="K53" s="145">
        <f>+K51+K25</f>
        <v>8782.1307329857646</v>
      </c>
      <c r="L53" s="143">
        <f>+K53/$E$25</f>
        <v>0.80578138463384053</v>
      </c>
      <c r="M53" s="145">
        <f>+M51+M25</f>
        <v>8782.1307329857646</v>
      </c>
      <c r="N53" s="143">
        <f>+M53/$E$25</f>
        <v>0.80578138463384053</v>
      </c>
      <c r="O53" s="145">
        <f>+O51+O25</f>
        <v>8782.1307329857646</v>
      </c>
      <c r="P53" s="143">
        <f>+O53/$E$25</f>
        <v>0.80578138463384053</v>
      </c>
      <c r="Q53" s="145">
        <f>+Q51+Q25</f>
        <v>8782.1307329857646</v>
      </c>
      <c r="R53" s="143">
        <f>+Q53/$E$25</f>
        <v>0.80578138463384053</v>
      </c>
      <c r="S53" s="145">
        <f>+S51+S25</f>
        <v>8782.1307329857646</v>
      </c>
      <c r="T53" s="143">
        <f>+S53/$E$25</f>
        <v>0.80578138463384053</v>
      </c>
      <c r="U53" s="145">
        <f>+U51+U25</f>
        <v>8782.1307329857646</v>
      </c>
      <c r="V53" s="143">
        <f>+U53/$E$25</f>
        <v>0.80578138463384053</v>
      </c>
      <c r="W53" s="145">
        <f>+W51+W25</f>
        <v>8782.1307329857646</v>
      </c>
      <c r="X53" s="143">
        <f>+W53/$E$25</f>
        <v>0.80578138463384053</v>
      </c>
      <c r="Y53" s="145">
        <f>+Y51+Y25</f>
        <v>8782.1307329857646</v>
      </c>
      <c r="Z53" s="143">
        <f>+Y53/$E$25</f>
        <v>0.80578138463384053</v>
      </c>
      <c r="AA53" s="145">
        <f>+AA51+AA25</f>
        <v>8782.1307329857646</v>
      </c>
      <c r="AB53" s="143">
        <f>+AA53/$E$25</f>
        <v>0.80578138463384053</v>
      </c>
      <c r="AC53" s="145">
        <f>+AC51+AC25</f>
        <v>105461.32974474016</v>
      </c>
      <c r="AD53" s="143">
        <f>+AC53/$E$25</f>
        <v>9.676327862879754</v>
      </c>
    </row>
    <row r="54" spans="1:30" ht="13.2" x14ac:dyDescent="0.25">
      <c r="A54" s="174"/>
      <c r="E54" s="141"/>
      <c r="G54" s="141"/>
      <c r="I54" s="141"/>
      <c r="K54" s="141"/>
      <c r="M54" s="141"/>
      <c r="O54" s="141"/>
      <c r="Q54" s="141"/>
      <c r="S54" s="141"/>
      <c r="U54" s="141"/>
      <c r="W54" s="141"/>
      <c r="Y54" s="141"/>
      <c r="AA54" s="141"/>
      <c r="AC54" s="141"/>
    </row>
    <row r="55" spans="1:30" ht="13.2" x14ac:dyDescent="0.25">
      <c r="A55" s="174"/>
      <c r="B55" s="123"/>
      <c r="C55" s="124" t="s">
        <v>214</v>
      </c>
      <c r="D55" s="137"/>
      <c r="E55" s="140">
        <f>SUM(E56:E61)</f>
        <v>5060.9524999999994</v>
      </c>
      <c r="F55" s="137">
        <f>E55/$E$25</f>
        <v>0.46435443026360457</v>
      </c>
      <c r="G55" s="140">
        <f>SUM(G56:G61)</f>
        <v>5158.4449999999997</v>
      </c>
      <c r="H55" s="137">
        <f>G55/$E$25</f>
        <v>0.47329959904210517</v>
      </c>
      <c r="I55" s="140">
        <f>SUM(I56:I61)</f>
        <v>5158.4449999999997</v>
      </c>
      <c r="J55" s="137">
        <f>I55/$E$25</f>
        <v>0.47329959904210517</v>
      </c>
      <c r="K55" s="140">
        <f>SUM(K56:K61)</f>
        <v>5158.4449999999997</v>
      </c>
      <c r="L55" s="137">
        <f>K55/$E$25</f>
        <v>0.47329959904210517</v>
      </c>
      <c r="M55" s="140">
        <f>SUM(M56:M61)</f>
        <v>5158.4449999999997</v>
      </c>
      <c r="N55" s="137">
        <f>M55/$E$25</f>
        <v>0.47329959904210517</v>
      </c>
      <c r="O55" s="140">
        <f>SUM(O56:O61)</f>
        <v>5158.4449999999997</v>
      </c>
      <c r="P55" s="137">
        <f>O55/$E$25</f>
        <v>0.47329959904210517</v>
      </c>
      <c r="Q55" s="140">
        <f>SUM(Q56:Q61)</f>
        <v>5158.4449999999997</v>
      </c>
      <c r="R55" s="137">
        <f>Q55/$E$25</f>
        <v>0.47329959904210517</v>
      </c>
      <c r="S55" s="140">
        <f>SUM(S56:S61)</f>
        <v>5158.4449999999997</v>
      </c>
      <c r="T55" s="137">
        <f>S55/$E$25</f>
        <v>0.47329959904210517</v>
      </c>
      <c r="U55" s="140">
        <f>SUM(U56:U61)</f>
        <v>5158.4449999999997</v>
      </c>
      <c r="V55" s="137">
        <f>U55/$E$25</f>
        <v>0.47329959904210517</v>
      </c>
      <c r="W55" s="140">
        <f>SUM(W56:W61)</f>
        <v>5158.4449999999997</v>
      </c>
      <c r="X55" s="137">
        <f>W55/$E$25</f>
        <v>0.47329959904210517</v>
      </c>
      <c r="Y55" s="140">
        <f>SUM(Y56:Y61)</f>
        <v>5158.4449999999997</v>
      </c>
      <c r="Z55" s="137">
        <f>Y55/$E$25</f>
        <v>0.47329959904210517</v>
      </c>
      <c r="AA55" s="140">
        <f>SUM(AA56:AA61)</f>
        <v>5158.4449999999997</v>
      </c>
      <c r="AB55" s="137">
        <f>AA55/$E$25</f>
        <v>0.47329959904210517</v>
      </c>
      <c r="AC55" s="140">
        <f>SUM(AC56:AC61)</f>
        <v>61803.847500000003</v>
      </c>
      <c r="AD55" s="137">
        <f>AC55/$E$25</f>
        <v>5.6706500197267617</v>
      </c>
    </row>
    <row r="56" spans="1:30" ht="13.2" x14ac:dyDescent="0.25">
      <c r="A56" s="175">
        <v>0.46</v>
      </c>
      <c r="B56" s="164" t="s">
        <v>215</v>
      </c>
      <c r="C56" s="164" t="s">
        <v>216</v>
      </c>
      <c r="E56" s="159">
        <f>+('COST DATA'!$C$67-'INCOME STATEMENT'!E$36)*'INCOME STATEMENT'!$A$56</f>
        <v>28.038149999999838</v>
      </c>
      <c r="F56" s="129"/>
      <c r="G56" s="159">
        <f>IF(('COST DATA'!$C$67-'INCOME STATEMENT'!G$36)*'INCOME STATEMENT'!$A56&gt;G$36,0,(('COST DATA'!$C$67-'INCOME STATEMENT'!G$36)*'INCOME STATEMENT'!$A56))</f>
        <v>72.884699999999981</v>
      </c>
      <c r="H56" s="129"/>
      <c r="I56" s="159">
        <f>IF(('COST DATA'!$C$67-'INCOME STATEMENT'!I$36)*'INCOME STATEMENT'!$A56&gt;I$36,0,(('COST DATA'!$C$67-'INCOME STATEMENT'!I$36)*'INCOME STATEMENT'!$A56))</f>
        <v>72.884699999999981</v>
      </c>
      <c r="J56" s="129"/>
      <c r="K56" s="159">
        <f>IF(('COST DATA'!$C$67-'INCOME STATEMENT'!K$36)*'INCOME STATEMENT'!$A56&gt;K$36,0,(('COST DATA'!$C$67-'INCOME STATEMENT'!K$36)*'INCOME STATEMENT'!$A56))</f>
        <v>72.884699999999981</v>
      </c>
      <c r="L56" s="129"/>
      <c r="M56" s="159">
        <f>IF(('COST DATA'!$C$67-'INCOME STATEMENT'!M$36)*'INCOME STATEMENT'!$A56&gt;M$36,0,(('COST DATA'!$C$67-'INCOME STATEMENT'!M$36)*'INCOME STATEMENT'!$A56))</f>
        <v>72.884699999999981</v>
      </c>
      <c r="N56" s="129"/>
      <c r="O56" s="159">
        <f>IF(('COST DATA'!$C$67-'INCOME STATEMENT'!O$36)*'INCOME STATEMENT'!$A56&gt;O$36,0,(('COST DATA'!$C$67-'INCOME STATEMENT'!O$36)*'INCOME STATEMENT'!$A56))</f>
        <v>72.884699999999981</v>
      </c>
      <c r="P56" s="129"/>
      <c r="Q56" s="159">
        <f>IF(('COST DATA'!$C$67-'INCOME STATEMENT'!Q$36)*'INCOME STATEMENT'!$A56&gt;Q$36,0,(('COST DATA'!$C$67-'INCOME STATEMENT'!Q$36)*'INCOME STATEMENT'!$A56))</f>
        <v>72.884699999999981</v>
      </c>
      <c r="R56" s="129"/>
      <c r="S56" s="159">
        <f>IF(('COST DATA'!$C$67-'INCOME STATEMENT'!S$36)*'INCOME STATEMENT'!$A56&gt;S$36,0,(('COST DATA'!$C$67-'INCOME STATEMENT'!S$36)*'INCOME STATEMENT'!$A56))</f>
        <v>72.884699999999981</v>
      </c>
      <c r="T56" s="129"/>
      <c r="U56" s="159">
        <f>IF(('COST DATA'!$C$67-'INCOME STATEMENT'!U$36)*'INCOME STATEMENT'!$A56&gt;U$36,0,(('COST DATA'!$C$67-'INCOME STATEMENT'!U$36)*'INCOME STATEMENT'!$A56))</f>
        <v>72.884699999999981</v>
      </c>
      <c r="V56" s="129"/>
      <c r="W56" s="159">
        <f>IF(('COST DATA'!$C$67-'INCOME STATEMENT'!W$36)*'INCOME STATEMENT'!$A56&gt;W$36,0,(('COST DATA'!$C$67-'INCOME STATEMENT'!W$36)*'INCOME STATEMENT'!$A56))</f>
        <v>72.884699999999981</v>
      </c>
      <c r="X56" s="129"/>
      <c r="Y56" s="159">
        <f>IF(('COST DATA'!$C$67-'INCOME STATEMENT'!Y$36)*'INCOME STATEMENT'!$A56&gt;Y$36,0,(('COST DATA'!$C$67-'INCOME STATEMENT'!Y$36)*'INCOME STATEMENT'!$A56))</f>
        <v>72.884699999999981</v>
      </c>
      <c r="Z56" s="129"/>
      <c r="AA56" s="159">
        <f>IF(('COST DATA'!$C$67-'INCOME STATEMENT'!AA$36)*'INCOME STATEMENT'!$A56&gt;AA$36,0,(('COST DATA'!$C$67-'INCOME STATEMENT'!AA$36)*'INCOME STATEMENT'!$A56))</f>
        <v>72.884699999999981</v>
      </c>
      <c r="AB56" s="129"/>
      <c r="AC56" s="159">
        <f t="shared" ref="AC56:AC61" si="4">+E56+G56+I56+K56+M56+O56+Q56+S56+U56+W56+Y56+AA56</f>
        <v>829.76984999999945</v>
      </c>
      <c r="AD56" s="129"/>
    </row>
    <row r="57" spans="1:30" ht="13.2" x14ac:dyDescent="0.25">
      <c r="A57" s="176">
        <v>0.54</v>
      </c>
      <c r="B57" s="164" t="s">
        <v>356</v>
      </c>
      <c r="C57" s="164" t="s">
        <v>354</v>
      </c>
      <c r="E57" s="159">
        <f>+('COST DATA'!$C$67-'INCOME STATEMENT'!E$36)*'INCOME STATEMENT'!$A$57</f>
        <v>32.914349999999814</v>
      </c>
      <c r="F57" s="129"/>
      <c r="G57" s="159">
        <f>IF('COST DATA'!$C$67-'INCOME STATEMENT'!G$36-'INCOME STATEMENT'!G$56&gt;0,'COST DATA'!$C$67-G$36-G$56,0)</f>
        <v>85.560299999999955</v>
      </c>
      <c r="H57" s="129"/>
      <c r="I57" s="159">
        <f>IF('COST DATA'!$C$67-'INCOME STATEMENT'!I$36-'INCOME STATEMENT'!I$56&gt;0,'COST DATA'!$C$67-I$36-I$56,0)</f>
        <v>85.560299999999955</v>
      </c>
      <c r="J57" s="129"/>
      <c r="K57" s="159">
        <f>IF('COST DATA'!$C$67-'INCOME STATEMENT'!K$36-'INCOME STATEMENT'!K$56&gt;0,'COST DATA'!$C$67-K$36-K$56,0)</f>
        <v>85.560299999999955</v>
      </c>
      <c r="L57" s="129"/>
      <c r="M57" s="159">
        <f>IF('COST DATA'!$C$67-'INCOME STATEMENT'!M$36-'INCOME STATEMENT'!M$56&gt;0,'COST DATA'!$C$67-M$36-M$56,0)</f>
        <v>85.560299999999955</v>
      </c>
      <c r="N57" s="129"/>
      <c r="O57" s="159">
        <f>IF('COST DATA'!$C$67-'INCOME STATEMENT'!O$36-'INCOME STATEMENT'!O$56&gt;0,'COST DATA'!$C$67-O$36-O$56,0)</f>
        <v>85.560299999999955</v>
      </c>
      <c r="P57" s="129"/>
      <c r="Q57" s="159">
        <f>IF('COST DATA'!$C$67-'INCOME STATEMENT'!Q$36-'INCOME STATEMENT'!Q$56&gt;0,'COST DATA'!$C$67-Q$36-Q$56,0)</f>
        <v>85.560299999999955</v>
      </c>
      <c r="R57" s="129"/>
      <c r="S57" s="159">
        <f>IF('COST DATA'!$C$67-'INCOME STATEMENT'!S$36-'INCOME STATEMENT'!S$56&gt;0,'COST DATA'!$C$67-S$36-S$56,0)</f>
        <v>85.560299999999955</v>
      </c>
      <c r="T57" s="129"/>
      <c r="U57" s="159">
        <f>IF('COST DATA'!$C$67-'INCOME STATEMENT'!U$36-'INCOME STATEMENT'!U$56&gt;0,'COST DATA'!$C$67-U$36-U$56,0)</f>
        <v>85.560299999999955</v>
      </c>
      <c r="V57" s="129"/>
      <c r="W57" s="159">
        <f>IF('COST DATA'!$C$67-'INCOME STATEMENT'!W$36-'INCOME STATEMENT'!W$56&gt;0,'COST DATA'!$C$67-W$36-W$56,0)</f>
        <v>85.560299999999955</v>
      </c>
      <c r="X57" s="129"/>
      <c r="Y57" s="159">
        <f>IF('COST DATA'!$C$67-'INCOME STATEMENT'!Y$36-'INCOME STATEMENT'!Y$56&gt;0,'COST DATA'!$C$67-Y$36-Y$56,0)</f>
        <v>85.560299999999955</v>
      </c>
      <c r="Z57" s="129"/>
      <c r="AA57" s="159">
        <f>IF('COST DATA'!$C$67-'INCOME STATEMENT'!AA$36-'INCOME STATEMENT'!AA$56&gt;0,'COST DATA'!$C$67-AA$36-AA$56,0)</f>
        <v>85.560299999999955</v>
      </c>
      <c r="AB57" s="129"/>
      <c r="AC57" s="159">
        <f t="shared" si="4"/>
        <v>974.07764999999949</v>
      </c>
      <c r="AD57" s="129"/>
    </row>
    <row r="58" spans="1:30" ht="13.2" hidden="1" outlineLevel="1" x14ac:dyDescent="0.25">
      <c r="A58" s="174"/>
      <c r="B58" s="120" t="s">
        <v>217</v>
      </c>
      <c r="C58" s="120" t="s">
        <v>218</v>
      </c>
      <c r="E58" s="139"/>
      <c r="F58" s="129"/>
      <c r="G58" s="139"/>
      <c r="H58" s="129"/>
      <c r="I58" s="139"/>
      <c r="J58" s="129"/>
      <c r="K58" s="139"/>
      <c r="L58" s="129"/>
      <c r="M58" s="139"/>
      <c r="N58" s="129"/>
      <c r="O58" s="139"/>
      <c r="P58" s="129"/>
      <c r="Q58" s="139"/>
      <c r="R58" s="129"/>
      <c r="S58" s="139"/>
      <c r="T58" s="129"/>
      <c r="U58" s="139"/>
      <c r="V58" s="129"/>
      <c r="W58" s="139"/>
      <c r="X58" s="129"/>
      <c r="Y58" s="139"/>
      <c r="Z58" s="129"/>
      <c r="AA58" s="139"/>
      <c r="AB58" s="129"/>
      <c r="AC58" s="139">
        <f t="shared" si="4"/>
        <v>0</v>
      </c>
      <c r="AD58" s="129"/>
    </row>
    <row r="59" spans="1:30" ht="13.2" hidden="1" outlineLevel="1" x14ac:dyDescent="0.25">
      <c r="A59" s="174"/>
      <c r="B59" s="120" t="s">
        <v>359</v>
      </c>
      <c r="C59" s="127" t="s">
        <v>219</v>
      </c>
      <c r="E59" s="139"/>
      <c r="F59" s="129"/>
      <c r="G59" s="139"/>
      <c r="H59" s="129"/>
      <c r="I59" s="139"/>
      <c r="J59" s="129"/>
      <c r="K59" s="139"/>
      <c r="L59" s="129"/>
      <c r="M59" s="139"/>
      <c r="N59" s="129"/>
      <c r="O59" s="139"/>
      <c r="P59" s="129"/>
      <c r="Q59" s="139"/>
      <c r="R59" s="129"/>
      <c r="S59" s="139"/>
      <c r="T59" s="129"/>
      <c r="U59" s="139"/>
      <c r="V59" s="129"/>
      <c r="W59" s="139"/>
      <c r="X59" s="129"/>
      <c r="Y59" s="139"/>
      <c r="Z59" s="129"/>
      <c r="AA59" s="139"/>
      <c r="AB59" s="129"/>
      <c r="AC59" s="139">
        <f t="shared" si="4"/>
        <v>0</v>
      </c>
      <c r="AD59" s="129"/>
    </row>
    <row r="60" spans="1:30" ht="13.2" collapsed="1" x14ac:dyDescent="0.25">
      <c r="A60" s="175">
        <v>0.46</v>
      </c>
      <c r="B60" s="164" t="s">
        <v>220</v>
      </c>
      <c r="C60" s="164" t="s">
        <v>221</v>
      </c>
      <c r="E60" s="159">
        <f>+'COST DATA'!$D$45*'INCOME STATEMENT'!$A60</f>
        <v>2300</v>
      </c>
      <c r="F60" s="129"/>
      <c r="G60" s="159">
        <f>+'COST DATA'!$D$45*'INCOME STATEMENT'!$A60</f>
        <v>2300</v>
      </c>
      <c r="H60" s="129"/>
      <c r="I60" s="159">
        <f>+'COST DATA'!$D$45*'INCOME STATEMENT'!$A60</f>
        <v>2300</v>
      </c>
      <c r="J60" s="129"/>
      <c r="K60" s="159">
        <f>+'COST DATA'!$D$45*'INCOME STATEMENT'!$A60</f>
        <v>2300</v>
      </c>
      <c r="L60" s="129"/>
      <c r="M60" s="159">
        <f>+'COST DATA'!$D$45*'INCOME STATEMENT'!$A60</f>
        <v>2300</v>
      </c>
      <c r="N60" s="129"/>
      <c r="O60" s="159">
        <f>+'COST DATA'!$D$45*'INCOME STATEMENT'!$A60</f>
        <v>2300</v>
      </c>
      <c r="P60" s="129"/>
      <c r="Q60" s="159">
        <f>+'COST DATA'!$D$45*'INCOME STATEMENT'!$A60</f>
        <v>2300</v>
      </c>
      <c r="R60" s="129"/>
      <c r="S60" s="159">
        <f>+'COST DATA'!$D$45*'INCOME STATEMENT'!$A60</f>
        <v>2300</v>
      </c>
      <c r="T60" s="129"/>
      <c r="U60" s="159">
        <f>+'COST DATA'!$D$45*'INCOME STATEMENT'!$A60</f>
        <v>2300</v>
      </c>
      <c r="V60" s="129"/>
      <c r="W60" s="159">
        <f>+'COST DATA'!$D$45*'INCOME STATEMENT'!$A60</f>
        <v>2300</v>
      </c>
      <c r="X60" s="129"/>
      <c r="Y60" s="159">
        <f>+'COST DATA'!$D$45*'INCOME STATEMENT'!$A60</f>
        <v>2300</v>
      </c>
      <c r="Z60" s="129"/>
      <c r="AA60" s="159">
        <f>+'COST DATA'!$D$45*'INCOME STATEMENT'!$A60</f>
        <v>2300</v>
      </c>
      <c r="AB60" s="129"/>
      <c r="AC60" s="159">
        <f t="shared" si="4"/>
        <v>27600</v>
      </c>
      <c r="AD60" s="129"/>
    </row>
    <row r="61" spans="1:30" ht="13.2" x14ac:dyDescent="0.25">
      <c r="A61" s="176">
        <v>0.54</v>
      </c>
      <c r="B61" s="164" t="s">
        <v>222</v>
      </c>
      <c r="C61" s="164" t="s">
        <v>223</v>
      </c>
      <c r="E61" s="159">
        <f>+'COST DATA'!$D$45*'INCOME STATEMENT'!$A61</f>
        <v>2700</v>
      </c>
      <c r="F61" s="129"/>
      <c r="G61" s="159">
        <f>+'COST DATA'!$D$45*'INCOME STATEMENT'!$A61</f>
        <v>2700</v>
      </c>
      <c r="H61" s="129"/>
      <c r="I61" s="159">
        <f>+'COST DATA'!$D$45*'INCOME STATEMENT'!$A61</f>
        <v>2700</v>
      </c>
      <c r="J61" s="129"/>
      <c r="K61" s="159">
        <f>+'COST DATA'!$D$45*'INCOME STATEMENT'!$A61</f>
        <v>2700</v>
      </c>
      <c r="L61" s="129"/>
      <c r="M61" s="159">
        <f>+'COST DATA'!$D$45*'INCOME STATEMENT'!$A61</f>
        <v>2700</v>
      </c>
      <c r="N61" s="129"/>
      <c r="O61" s="159">
        <f>+'COST DATA'!$D$45*'INCOME STATEMENT'!$A61</f>
        <v>2700</v>
      </c>
      <c r="P61" s="129"/>
      <c r="Q61" s="159">
        <f>+'COST DATA'!$D$45*'INCOME STATEMENT'!$A61</f>
        <v>2700</v>
      </c>
      <c r="R61" s="129"/>
      <c r="S61" s="159">
        <f>+'COST DATA'!$D$45*'INCOME STATEMENT'!$A61</f>
        <v>2700</v>
      </c>
      <c r="T61" s="129"/>
      <c r="U61" s="159">
        <f>+'COST DATA'!$D$45*'INCOME STATEMENT'!$A61</f>
        <v>2700</v>
      </c>
      <c r="V61" s="129"/>
      <c r="W61" s="159">
        <f>+'COST DATA'!$D$45*'INCOME STATEMENT'!$A61</f>
        <v>2700</v>
      </c>
      <c r="X61" s="129"/>
      <c r="Y61" s="159">
        <f>+'COST DATA'!$D$45*'INCOME STATEMENT'!$A61</f>
        <v>2700</v>
      </c>
      <c r="Z61" s="129"/>
      <c r="AA61" s="159">
        <f>+'COST DATA'!$D$45*'INCOME STATEMENT'!$A61</f>
        <v>2700</v>
      </c>
      <c r="AB61" s="129"/>
      <c r="AC61" s="159">
        <f t="shared" si="4"/>
        <v>32400</v>
      </c>
      <c r="AD61" s="129"/>
    </row>
    <row r="62" spans="1:30" ht="13.2" x14ac:dyDescent="0.25">
      <c r="A62" s="174"/>
      <c r="B62" s="123"/>
      <c r="C62" s="124" t="s">
        <v>224</v>
      </c>
      <c r="D62" s="137"/>
      <c r="E62" s="140">
        <f>SUM(E63:E70)</f>
        <v>957.03850388848127</v>
      </c>
      <c r="F62" s="137">
        <f>E62/$E$25</f>
        <v>8.7810559220515949E-2</v>
      </c>
      <c r="G62" s="140">
        <f>SUM(G63:G70)</f>
        <v>962.27655513053378</v>
      </c>
      <c r="H62" s="137">
        <f>G62/$E$25</f>
        <v>8.8291162881624183E-2</v>
      </c>
      <c r="I62" s="140">
        <f>SUM(I63:I70)</f>
        <v>962.27655513053378</v>
      </c>
      <c r="J62" s="137">
        <f>I62/$E$25</f>
        <v>8.8291162881624183E-2</v>
      </c>
      <c r="K62" s="140">
        <f>SUM(K63:K70)</f>
        <v>862.27655513053378</v>
      </c>
      <c r="L62" s="137">
        <f>K62/$E$25</f>
        <v>7.9115925013582458E-2</v>
      </c>
      <c r="M62" s="140">
        <f>SUM(M63:M70)</f>
        <v>862.27655513053378</v>
      </c>
      <c r="N62" s="137">
        <f>M62/$E$25</f>
        <v>7.9115925013582458E-2</v>
      </c>
      <c r="O62" s="140">
        <f>SUM(O63:O70)</f>
        <v>862.27655513053378</v>
      </c>
      <c r="P62" s="137">
        <f>O62/$E$25</f>
        <v>7.9115925013582458E-2</v>
      </c>
      <c r="Q62" s="140">
        <f>SUM(Q63:Q70)</f>
        <v>862.27655513053378</v>
      </c>
      <c r="R62" s="137">
        <f>Q62/$E$25</f>
        <v>7.9115925013582458E-2</v>
      </c>
      <c r="S62" s="140">
        <f>SUM(S63:S70)</f>
        <v>862.27655513053378</v>
      </c>
      <c r="T62" s="137">
        <f>S62/$E$25</f>
        <v>7.9115925013582458E-2</v>
      </c>
      <c r="U62" s="140">
        <f>SUM(U63:U70)</f>
        <v>862.27655513053378</v>
      </c>
      <c r="V62" s="137">
        <f>U62/$E$25</f>
        <v>7.9115925013582458E-2</v>
      </c>
      <c r="W62" s="140">
        <f>SUM(W63:W70)</f>
        <v>962.27655513053378</v>
      </c>
      <c r="X62" s="137">
        <f>W62/$E$25</f>
        <v>8.8291162881624183E-2</v>
      </c>
      <c r="Y62" s="140">
        <f>SUM(Y63:Y70)</f>
        <v>962.27655513053378</v>
      </c>
      <c r="Z62" s="137">
        <f>Y62/$E$25</f>
        <v>8.8291162881624183E-2</v>
      </c>
      <c r="AA62" s="140">
        <f>SUM(AA63:AA70)</f>
        <v>962.27655513053378</v>
      </c>
      <c r="AB62" s="137">
        <f>AA62/$E$25</f>
        <v>8.8291162881624183E-2</v>
      </c>
      <c r="AC62" s="140">
        <f>SUM(AC63:AC70)</f>
        <v>10942.080610324352</v>
      </c>
      <c r="AD62" s="137">
        <f>AC62/$E$25</f>
        <v>1.0039619237101316</v>
      </c>
    </row>
    <row r="63" spans="1:30" ht="13.2" x14ac:dyDescent="0.25">
      <c r="A63" s="174"/>
      <c r="B63" s="130" t="s">
        <v>199</v>
      </c>
      <c r="C63" s="127" t="s">
        <v>227</v>
      </c>
      <c r="E63" s="139"/>
      <c r="F63" s="129"/>
      <c r="G63" s="139"/>
      <c r="H63" s="129"/>
      <c r="I63" s="139"/>
      <c r="J63" s="129"/>
      <c r="K63" s="139"/>
      <c r="L63" s="129"/>
      <c r="M63" s="139"/>
      <c r="N63" s="129"/>
      <c r="O63" s="139"/>
      <c r="P63" s="129"/>
      <c r="Q63" s="139"/>
      <c r="R63" s="129"/>
      <c r="S63" s="139"/>
      <c r="T63" s="129"/>
      <c r="U63" s="139"/>
      <c r="V63" s="129"/>
      <c r="W63" s="139"/>
      <c r="X63" s="129"/>
      <c r="Y63" s="139"/>
      <c r="Z63" s="129"/>
      <c r="AA63" s="139"/>
      <c r="AB63" s="129"/>
      <c r="AC63" s="139">
        <f t="shared" ref="AC63:AC70" si="5">+E63+G63+I63+K63+M63+O63+Q63+S63+U63+W63+Y63+AA63</f>
        <v>0</v>
      </c>
      <c r="AD63" s="129"/>
    </row>
    <row r="64" spans="1:30" ht="13.2" x14ac:dyDescent="0.25">
      <c r="A64" s="174"/>
      <c r="B64" s="164" t="s">
        <v>423</v>
      </c>
      <c r="C64" s="164" t="s">
        <v>229</v>
      </c>
      <c r="E64" s="159">
        <f>+'COST DATA'!$D$41</f>
        <v>700</v>
      </c>
      <c r="F64" s="129"/>
      <c r="G64" s="159">
        <f>+'COST DATA'!$D$41</f>
        <v>700</v>
      </c>
      <c r="H64" s="129"/>
      <c r="I64" s="159">
        <f>+'COST DATA'!$D$41</f>
        <v>700</v>
      </c>
      <c r="J64" s="129"/>
      <c r="K64" s="159">
        <f>+'COST DATA'!$D$41</f>
        <v>700</v>
      </c>
      <c r="L64" s="129"/>
      <c r="M64" s="159">
        <f>+'COST DATA'!$D$41</f>
        <v>700</v>
      </c>
      <c r="N64" s="129"/>
      <c r="O64" s="159">
        <f>+'COST DATA'!$D$41</f>
        <v>700</v>
      </c>
      <c r="P64" s="129"/>
      <c r="Q64" s="159">
        <f>+'COST DATA'!$D$41</f>
        <v>700</v>
      </c>
      <c r="R64" s="129"/>
      <c r="S64" s="159">
        <f>+'COST DATA'!$D$41</f>
        <v>700</v>
      </c>
      <c r="T64" s="129"/>
      <c r="U64" s="159">
        <f>+'COST DATA'!$D$41</f>
        <v>700</v>
      </c>
      <c r="V64" s="129"/>
      <c r="W64" s="159">
        <f>+'COST DATA'!$D$41</f>
        <v>700</v>
      </c>
      <c r="X64" s="129"/>
      <c r="Y64" s="159">
        <f>+'COST DATA'!$D$41</f>
        <v>700</v>
      </c>
      <c r="Z64" s="129"/>
      <c r="AA64" s="159">
        <f>+'COST DATA'!$D$41</f>
        <v>700</v>
      </c>
      <c r="AB64" s="129"/>
      <c r="AC64" s="159">
        <f t="shared" si="5"/>
        <v>8400</v>
      </c>
      <c r="AD64" s="129"/>
    </row>
    <row r="65" spans="1:30" ht="13.2" x14ac:dyDescent="0.25">
      <c r="A65" s="174"/>
      <c r="B65" s="164" t="s">
        <v>200</v>
      </c>
      <c r="C65" s="164" t="s">
        <v>231</v>
      </c>
      <c r="E65" s="159">
        <f>+'COST DATA'!$D$40</f>
        <v>100</v>
      </c>
      <c r="F65" s="129"/>
      <c r="G65" s="159">
        <f>+'COST DATA'!$D$40</f>
        <v>100</v>
      </c>
      <c r="H65" s="129"/>
      <c r="I65" s="159">
        <f>+'COST DATA'!$D$40</f>
        <v>100</v>
      </c>
      <c r="J65" s="129"/>
      <c r="K65" s="139"/>
      <c r="L65" s="129"/>
      <c r="M65" s="139"/>
      <c r="N65" s="129"/>
      <c r="O65" s="139"/>
      <c r="P65" s="129"/>
      <c r="Q65" s="139"/>
      <c r="R65" s="129"/>
      <c r="S65" s="139"/>
      <c r="T65" s="129"/>
      <c r="U65" s="139"/>
      <c r="V65" s="129"/>
      <c r="W65" s="159">
        <f>+'COST DATA'!$D$40</f>
        <v>100</v>
      </c>
      <c r="X65" s="129"/>
      <c r="Y65" s="159">
        <f>+'COST DATA'!$D$40</f>
        <v>100</v>
      </c>
      <c r="Z65" s="129"/>
      <c r="AA65" s="159">
        <f>+'COST DATA'!$D$40</f>
        <v>100</v>
      </c>
      <c r="AB65" s="129"/>
      <c r="AC65" s="159">
        <f t="shared" si="5"/>
        <v>600</v>
      </c>
      <c r="AD65" s="129"/>
    </row>
    <row r="66" spans="1:30" ht="13.2" hidden="1" outlineLevel="1" x14ac:dyDescent="0.25">
      <c r="A66" s="174"/>
      <c r="B66" s="130" t="s">
        <v>201</v>
      </c>
      <c r="C66" s="120" t="s">
        <v>233</v>
      </c>
      <c r="E66" s="139"/>
      <c r="F66" s="129"/>
      <c r="G66" s="139"/>
      <c r="H66" s="129"/>
      <c r="I66" s="139"/>
      <c r="J66" s="129"/>
      <c r="K66" s="139"/>
      <c r="L66" s="129"/>
      <c r="M66" s="139"/>
      <c r="N66" s="129"/>
      <c r="O66" s="139"/>
      <c r="P66" s="129"/>
      <c r="Q66" s="139"/>
      <c r="R66" s="129"/>
      <c r="S66" s="139"/>
      <c r="T66" s="129"/>
      <c r="U66" s="139"/>
      <c r="V66" s="129"/>
      <c r="W66" s="139"/>
      <c r="X66" s="129"/>
      <c r="Y66" s="139"/>
      <c r="Z66" s="129"/>
      <c r="AA66" s="139"/>
      <c r="AB66" s="129"/>
      <c r="AC66" s="139">
        <f t="shared" si="5"/>
        <v>0</v>
      </c>
      <c r="AD66" s="129"/>
    </row>
    <row r="67" spans="1:30" ht="13.2" collapsed="1" x14ac:dyDescent="0.25">
      <c r="A67" s="174">
        <v>100</v>
      </c>
      <c r="B67" s="164" t="s">
        <v>202</v>
      </c>
      <c r="C67" s="164" t="s">
        <v>437</v>
      </c>
      <c r="E67" s="159">
        <f>+$A67-E42</f>
        <v>22.038503888481245</v>
      </c>
      <c r="F67" s="129"/>
      <c r="G67" s="159">
        <f>+$A67-G42</f>
        <v>27.276555130533794</v>
      </c>
      <c r="H67" s="129"/>
      <c r="I67" s="159">
        <f>+$A67-I42</f>
        <v>27.276555130533794</v>
      </c>
      <c r="J67" s="129"/>
      <c r="K67" s="159">
        <f>+$A67-K42</f>
        <v>27.276555130533794</v>
      </c>
      <c r="L67" s="129"/>
      <c r="M67" s="159">
        <f>+$A67-M42</f>
        <v>27.276555130533794</v>
      </c>
      <c r="N67" s="129"/>
      <c r="O67" s="159">
        <f>+$A67-O42</f>
        <v>27.276555130533794</v>
      </c>
      <c r="P67" s="129"/>
      <c r="Q67" s="159">
        <f>+$A67-Q42</f>
        <v>27.276555130533794</v>
      </c>
      <c r="R67" s="129"/>
      <c r="S67" s="159">
        <f>+$A67-S42</f>
        <v>27.276555130533794</v>
      </c>
      <c r="T67" s="129"/>
      <c r="U67" s="159">
        <f>+$A67-U42</f>
        <v>27.276555130533794</v>
      </c>
      <c r="V67" s="129"/>
      <c r="W67" s="159">
        <f>+$A67-W42</f>
        <v>27.276555130533794</v>
      </c>
      <c r="X67" s="129"/>
      <c r="Y67" s="159">
        <f>+$A67-Y42</f>
        <v>27.276555130533794</v>
      </c>
      <c r="Z67" s="129"/>
      <c r="AA67" s="159">
        <f>+$A67-AA42</f>
        <v>27.276555130533794</v>
      </c>
      <c r="AB67" s="129"/>
      <c r="AC67" s="159">
        <f t="shared" si="5"/>
        <v>322.0806103243529</v>
      </c>
      <c r="AD67" s="129"/>
    </row>
    <row r="68" spans="1:30" ht="13.2" x14ac:dyDescent="0.25">
      <c r="A68" s="174"/>
      <c r="B68" s="164" t="s">
        <v>204</v>
      </c>
      <c r="C68" s="164" t="s">
        <v>362</v>
      </c>
      <c r="E68" s="159">
        <f>+'COST DATA'!$D$43</f>
        <v>10</v>
      </c>
      <c r="F68" s="129"/>
      <c r="G68" s="159">
        <f>+'COST DATA'!$D$43</f>
        <v>10</v>
      </c>
      <c r="H68" s="129"/>
      <c r="I68" s="159">
        <f>+'COST DATA'!$D$43</f>
        <v>10</v>
      </c>
      <c r="J68" s="129"/>
      <c r="K68" s="159">
        <f>+'COST DATA'!$D$43</f>
        <v>10</v>
      </c>
      <c r="L68" s="129"/>
      <c r="M68" s="159">
        <f>+'COST DATA'!$D$43</f>
        <v>10</v>
      </c>
      <c r="N68" s="129"/>
      <c r="O68" s="159">
        <f>+'COST DATA'!$D$43</f>
        <v>10</v>
      </c>
      <c r="P68" s="129"/>
      <c r="Q68" s="159">
        <f>+'COST DATA'!$D$43</f>
        <v>10</v>
      </c>
      <c r="R68" s="129"/>
      <c r="S68" s="159">
        <f>+'COST DATA'!$D$43</f>
        <v>10</v>
      </c>
      <c r="T68" s="129"/>
      <c r="U68" s="159">
        <f>+'COST DATA'!$D$43</f>
        <v>10</v>
      </c>
      <c r="V68" s="129"/>
      <c r="W68" s="159">
        <f>+'COST DATA'!$D$43</f>
        <v>10</v>
      </c>
      <c r="X68" s="129"/>
      <c r="Y68" s="159">
        <f>+'COST DATA'!$D$43</f>
        <v>10</v>
      </c>
      <c r="Z68" s="129"/>
      <c r="AA68" s="159">
        <f>+'COST DATA'!$D$43</f>
        <v>10</v>
      </c>
      <c r="AB68" s="129"/>
      <c r="AC68" s="159">
        <f t="shared" si="5"/>
        <v>120</v>
      </c>
      <c r="AD68" s="129"/>
    </row>
    <row r="69" spans="1:30" ht="13.2" x14ac:dyDescent="0.25">
      <c r="A69" s="174"/>
      <c r="B69" s="164" t="s">
        <v>205</v>
      </c>
      <c r="C69" s="164" t="s">
        <v>235</v>
      </c>
      <c r="E69" s="159">
        <f>+'COST DATA'!$D$44</f>
        <v>125</v>
      </c>
      <c r="F69" s="129"/>
      <c r="G69" s="159">
        <f>+'COST DATA'!$D$44</f>
        <v>125</v>
      </c>
      <c r="H69" s="129"/>
      <c r="I69" s="159">
        <f>+'COST DATA'!$D$44</f>
        <v>125</v>
      </c>
      <c r="J69" s="129"/>
      <c r="K69" s="159">
        <f>+'COST DATA'!$D$44</f>
        <v>125</v>
      </c>
      <c r="L69" s="129"/>
      <c r="M69" s="159">
        <f>+'COST DATA'!$D$44</f>
        <v>125</v>
      </c>
      <c r="N69" s="129"/>
      <c r="O69" s="159">
        <f>+'COST DATA'!$D$44</f>
        <v>125</v>
      </c>
      <c r="P69" s="129"/>
      <c r="Q69" s="159">
        <f>+'COST DATA'!$D$44</f>
        <v>125</v>
      </c>
      <c r="R69" s="129"/>
      <c r="S69" s="159">
        <f>+'COST DATA'!$D$44</f>
        <v>125</v>
      </c>
      <c r="T69" s="129"/>
      <c r="U69" s="159">
        <f>+'COST DATA'!$D$44</f>
        <v>125</v>
      </c>
      <c r="V69" s="129"/>
      <c r="W69" s="159">
        <f>+'COST DATA'!$D$44</f>
        <v>125</v>
      </c>
      <c r="X69" s="129"/>
      <c r="Y69" s="159">
        <f>+'COST DATA'!$D$44</f>
        <v>125</v>
      </c>
      <c r="Z69" s="129"/>
      <c r="AA69" s="159">
        <f>+'COST DATA'!$D$44</f>
        <v>125</v>
      </c>
      <c r="AB69" s="129"/>
      <c r="AC69" s="159">
        <f t="shared" si="5"/>
        <v>1500</v>
      </c>
      <c r="AD69" s="129"/>
    </row>
    <row r="70" spans="1:30" ht="13.2" hidden="1" outlineLevel="1" x14ac:dyDescent="0.25">
      <c r="A70" s="174"/>
      <c r="B70" s="130" t="s">
        <v>234</v>
      </c>
      <c r="C70" s="120" t="s">
        <v>236</v>
      </c>
      <c r="E70" s="139"/>
      <c r="F70" s="129"/>
      <c r="G70" s="139"/>
      <c r="H70" s="129"/>
      <c r="I70" s="139"/>
      <c r="J70" s="129"/>
      <c r="K70" s="139"/>
      <c r="L70" s="129"/>
      <c r="M70" s="139"/>
      <c r="N70" s="129"/>
      <c r="O70" s="139"/>
      <c r="P70" s="129"/>
      <c r="Q70" s="139"/>
      <c r="R70" s="129"/>
      <c r="S70" s="139"/>
      <c r="T70" s="129"/>
      <c r="U70" s="139"/>
      <c r="V70" s="129"/>
      <c r="W70" s="139"/>
      <c r="X70" s="129"/>
      <c r="Y70" s="139"/>
      <c r="Z70" s="129"/>
      <c r="AA70" s="139"/>
      <c r="AB70" s="129"/>
      <c r="AC70" s="139">
        <f t="shared" si="5"/>
        <v>0</v>
      </c>
      <c r="AD70" s="129"/>
    </row>
    <row r="71" spans="1:30" ht="13.2" collapsed="1" x14ac:dyDescent="0.25">
      <c r="A71" s="174"/>
      <c r="B71" s="123"/>
      <c r="C71" s="124" t="s">
        <v>372</v>
      </c>
      <c r="D71" s="137"/>
      <c r="E71" s="138">
        <f>SUM(E72:E101)</f>
        <v>2303.3333333333335</v>
      </c>
      <c r="F71" s="137">
        <f>E71/$E$25</f>
        <v>0.21133631222722785</v>
      </c>
      <c r="G71" s="138">
        <f>SUM(G72:G101)</f>
        <v>303.33333333333331</v>
      </c>
      <c r="H71" s="137">
        <f>G71/$E$25</f>
        <v>2.7831554866393243E-2</v>
      </c>
      <c r="I71" s="138">
        <f>SUM(I72:I101)</f>
        <v>303.33333333333331</v>
      </c>
      <c r="J71" s="137">
        <f>I71/$E$25</f>
        <v>2.7831554866393243E-2</v>
      </c>
      <c r="K71" s="138">
        <f>SUM(K72:K101)</f>
        <v>303.33333333333331</v>
      </c>
      <c r="L71" s="137">
        <f>K71/$E$25</f>
        <v>2.7831554866393243E-2</v>
      </c>
      <c r="M71" s="138">
        <f>SUM(M72:M101)</f>
        <v>303.33333333333331</v>
      </c>
      <c r="N71" s="137">
        <f>M71/$E$25</f>
        <v>2.7831554866393243E-2</v>
      </c>
      <c r="O71" s="138">
        <f>SUM(O72:O101)</f>
        <v>303.33333333333331</v>
      </c>
      <c r="P71" s="137">
        <f>O71/$E$25</f>
        <v>2.7831554866393243E-2</v>
      </c>
      <c r="Q71" s="138">
        <f>SUM(Q72:Q101)</f>
        <v>303.33333333333331</v>
      </c>
      <c r="R71" s="137">
        <f>Q71/$E$25</f>
        <v>2.7831554866393243E-2</v>
      </c>
      <c r="S71" s="138">
        <f>SUM(S72:S101)</f>
        <v>303.33333333333331</v>
      </c>
      <c r="T71" s="137">
        <f>S71/$E$25</f>
        <v>2.7831554866393243E-2</v>
      </c>
      <c r="U71" s="138">
        <f>SUM(U72:U101)</f>
        <v>303.33333333333331</v>
      </c>
      <c r="V71" s="137">
        <f>U71/$E$25</f>
        <v>2.7831554866393243E-2</v>
      </c>
      <c r="W71" s="138">
        <f>SUM(W72:W101)</f>
        <v>303.33333333333331</v>
      </c>
      <c r="X71" s="137">
        <f>W71/$E$25</f>
        <v>2.7831554866393243E-2</v>
      </c>
      <c r="Y71" s="138">
        <f>SUM(Y72:Y101)</f>
        <v>303.33333333333331</v>
      </c>
      <c r="Z71" s="137">
        <f>Y71/$E$25</f>
        <v>2.7831554866393243E-2</v>
      </c>
      <c r="AA71" s="138">
        <f>SUM(AA72:AA101)</f>
        <v>303.33333333333331</v>
      </c>
      <c r="AB71" s="137">
        <f>AA71/$E$25</f>
        <v>2.7831554866393243E-2</v>
      </c>
      <c r="AC71" s="138">
        <f>SUM(AC72:AC101)</f>
        <v>5640</v>
      </c>
      <c r="AD71" s="137">
        <f>AC71/$E$25</f>
        <v>0.51748341575755352</v>
      </c>
    </row>
    <row r="72" spans="1:30" ht="13.2" hidden="1" outlineLevel="1" x14ac:dyDescent="0.25">
      <c r="A72" s="174"/>
      <c r="B72" s="130" t="s">
        <v>364</v>
      </c>
      <c r="C72" s="120" t="s">
        <v>238</v>
      </c>
      <c r="E72" s="147"/>
      <c r="F72" s="129"/>
      <c r="G72" s="147"/>
      <c r="H72" s="129"/>
      <c r="I72" s="147"/>
      <c r="J72" s="129"/>
      <c r="K72" s="147"/>
      <c r="L72" s="129"/>
      <c r="M72" s="147"/>
      <c r="N72" s="129"/>
      <c r="O72" s="147"/>
      <c r="P72" s="129"/>
      <c r="Q72" s="147"/>
      <c r="R72" s="129"/>
      <c r="S72" s="147"/>
      <c r="T72" s="129"/>
      <c r="U72" s="147"/>
      <c r="V72" s="129"/>
      <c r="W72" s="147"/>
      <c r="X72" s="129"/>
      <c r="Y72" s="147"/>
      <c r="Z72" s="129"/>
      <c r="AA72" s="147"/>
      <c r="AB72" s="129"/>
      <c r="AC72" s="147">
        <f t="shared" ref="AC72:AC101" si="6">+E72+G72+I72+K72+M72+O72+Q72+S72+U72+W72+Y72+AA72</f>
        <v>0</v>
      </c>
      <c r="AD72" s="129"/>
    </row>
    <row r="73" spans="1:30" ht="13.2" hidden="1" outlineLevel="1" x14ac:dyDescent="0.25">
      <c r="A73" s="174"/>
      <c r="B73" s="130" t="s">
        <v>237</v>
      </c>
      <c r="C73" s="120" t="s">
        <v>240</v>
      </c>
      <c r="E73" s="147"/>
      <c r="F73" s="129"/>
      <c r="G73" s="147"/>
      <c r="H73" s="129"/>
      <c r="I73" s="147"/>
      <c r="J73" s="129"/>
      <c r="K73" s="147"/>
      <c r="L73" s="129"/>
      <c r="M73" s="147"/>
      <c r="N73" s="129"/>
      <c r="O73" s="147"/>
      <c r="P73" s="129"/>
      <c r="Q73" s="147"/>
      <c r="R73" s="129"/>
      <c r="S73" s="147"/>
      <c r="T73" s="129"/>
      <c r="U73" s="147"/>
      <c r="V73" s="129"/>
      <c r="W73" s="147"/>
      <c r="X73" s="129"/>
      <c r="Y73" s="147"/>
      <c r="Z73" s="129"/>
      <c r="AA73" s="147"/>
      <c r="AB73" s="129"/>
      <c r="AC73" s="147">
        <f t="shared" si="6"/>
        <v>0</v>
      </c>
      <c r="AD73" s="129"/>
    </row>
    <row r="74" spans="1:30" ht="13.2" hidden="1" outlineLevel="1" x14ac:dyDescent="0.25">
      <c r="A74" s="174"/>
      <c r="B74" s="130" t="s">
        <v>365</v>
      </c>
      <c r="C74" s="127" t="s">
        <v>243</v>
      </c>
      <c r="E74" s="147"/>
      <c r="F74" s="129"/>
      <c r="G74" s="147"/>
      <c r="H74" s="129"/>
      <c r="I74" s="147"/>
      <c r="J74" s="129"/>
      <c r="K74" s="147"/>
      <c r="L74" s="129"/>
      <c r="M74" s="147"/>
      <c r="N74" s="129"/>
      <c r="O74" s="147"/>
      <c r="P74" s="129"/>
      <c r="Q74" s="147"/>
      <c r="R74" s="129"/>
      <c r="S74" s="147"/>
      <c r="T74" s="129"/>
      <c r="U74" s="147"/>
      <c r="V74" s="129"/>
      <c r="W74" s="147"/>
      <c r="X74" s="129"/>
      <c r="Y74" s="147"/>
      <c r="Z74" s="129"/>
      <c r="AA74" s="147"/>
      <c r="AB74" s="129"/>
      <c r="AC74" s="147">
        <f t="shared" si="6"/>
        <v>0</v>
      </c>
      <c r="AD74" s="129"/>
    </row>
    <row r="75" spans="1:30" ht="13.2" hidden="1" outlineLevel="1" x14ac:dyDescent="0.25">
      <c r="A75" s="174"/>
      <c r="B75" s="130" t="s">
        <v>366</v>
      </c>
      <c r="C75" s="120" t="s">
        <v>245</v>
      </c>
      <c r="E75" s="147"/>
      <c r="F75" s="129"/>
      <c r="G75" s="147"/>
      <c r="H75" s="129"/>
      <c r="I75" s="147"/>
      <c r="J75" s="129"/>
      <c r="K75" s="147"/>
      <c r="L75" s="129"/>
      <c r="M75" s="147"/>
      <c r="N75" s="129"/>
      <c r="O75" s="147"/>
      <c r="P75" s="129"/>
      <c r="Q75" s="147"/>
      <c r="R75" s="129"/>
      <c r="S75" s="147"/>
      <c r="T75" s="129"/>
      <c r="U75" s="147"/>
      <c r="V75" s="129"/>
      <c r="W75" s="147"/>
      <c r="X75" s="129"/>
      <c r="Y75" s="147"/>
      <c r="Z75" s="129"/>
      <c r="AA75" s="147"/>
      <c r="AB75" s="129"/>
      <c r="AC75" s="147">
        <f t="shared" si="6"/>
        <v>0</v>
      </c>
      <c r="AD75" s="129"/>
    </row>
    <row r="76" spans="1:30" ht="13.2" hidden="1" outlineLevel="1" x14ac:dyDescent="0.25">
      <c r="A76" s="174"/>
      <c r="B76" s="130" t="s">
        <v>239</v>
      </c>
      <c r="C76" s="127" t="s">
        <v>363</v>
      </c>
      <c r="E76" s="147"/>
      <c r="F76" s="129"/>
      <c r="G76" s="147"/>
      <c r="H76" s="129"/>
      <c r="I76" s="147"/>
      <c r="J76" s="129"/>
      <c r="K76" s="147"/>
      <c r="L76" s="129"/>
      <c r="M76" s="147"/>
      <c r="N76" s="129"/>
      <c r="O76" s="147"/>
      <c r="P76" s="129"/>
      <c r="Q76" s="147"/>
      <c r="R76" s="129"/>
      <c r="S76" s="147"/>
      <c r="T76" s="129"/>
      <c r="U76" s="147"/>
      <c r="V76" s="129"/>
      <c r="W76" s="147"/>
      <c r="X76" s="129"/>
      <c r="Y76" s="147"/>
      <c r="Z76" s="129"/>
      <c r="AA76" s="147"/>
      <c r="AB76" s="129"/>
      <c r="AC76" s="147">
        <f t="shared" si="6"/>
        <v>0</v>
      </c>
      <c r="AD76" s="129"/>
    </row>
    <row r="77" spans="1:30" ht="13.2" hidden="1" outlineLevel="1" x14ac:dyDescent="0.25">
      <c r="A77" s="174"/>
      <c r="B77" s="130" t="s">
        <v>241</v>
      </c>
      <c r="C77" s="120" t="s">
        <v>137</v>
      </c>
      <c r="E77" s="147"/>
      <c r="F77" s="129"/>
      <c r="G77" s="147"/>
      <c r="H77" s="129"/>
      <c r="I77" s="147"/>
      <c r="J77" s="129"/>
      <c r="K77" s="147"/>
      <c r="L77" s="129"/>
      <c r="M77" s="147"/>
      <c r="N77" s="129"/>
      <c r="O77" s="147"/>
      <c r="P77" s="129"/>
      <c r="Q77" s="147"/>
      <c r="R77" s="129"/>
      <c r="S77" s="147"/>
      <c r="T77" s="129"/>
      <c r="U77" s="147"/>
      <c r="V77" s="129"/>
      <c r="W77" s="147"/>
      <c r="X77" s="129"/>
      <c r="Y77" s="147"/>
      <c r="Z77" s="129"/>
      <c r="AA77" s="147"/>
      <c r="AB77" s="129"/>
      <c r="AC77" s="147">
        <f t="shared" si="6"/>
        <v>0</v>
      </c>
      <c r="AD77" s="129"/>
    </row>
    <row r="78" spans="1:30" ht="13.2" hidden="1" outlineLevel="1" x14ac:dyDescent="0.25">
      <c r="A78" s="174"/>
      <c r="B78" s="130" t="s">
        <v>242</v>
      </c>
      <c r="C78" s="120" t="s">
        <v>252</v>
      </c>
      <c r="E78" s="147"/>
      <c r="F78" s="129"/>
      <c r="G78" s="147"/>
      <c r="H78" s="129"/>
      <c r="I78" s="147"/>
      <c r="J78" s="129"/>
      <c r="K78" s="147"/>
      <c r="L78" s="129"/>
      <c r="M78" s="147"/>
      <c r="N78" s="129"/>
      <c r="O78" s="147"/>
      <c r="P78" s="129"/>
      <c r="Q78" s="147"/>
      <c r="R78" s="129"/>
      <c r="S78" s="147"/>
      <c r="T78" s="129"/>
      <c r="U78" s="147"/>
      <c r="V78" s="129"/>
      <c r="W78" s="147"/>
      <c r="X78" s="129"/>
      <c r="Y78" s="147"/>
      <c r="Z78" s="129"/>
      <c r="AA78" s="147"/>
      <c r="AB78" s="129"/>
      <c r="AC78" s="147">
        <f t="shared" si="6"/>
        <v>0</v>
      </c>
      <c r="AD78" s="129"/>
    </row>
    <row r="79" spans="1:30" ht="13.2" hidden="1" outlineLevel="1" x14ac:dyDescent="0.25">
      <c r="A79" s="164"/>
      <c r="B79" s="130" t="s">
        <v>367</v>
      </c>
      <c r="C79" s="120" t="s">
        <v>254</v>
      </c>
      <c r="E79" s="147"/>
      <c r="F79" s="129"/>
      <c r="G79" s="147"/>
      <c r="H79" s="129"/>
      <c r="I79" s="147"/>
      <c r="J79" s="129"/>
      <c r="K79" s="147"/>
      <c r="L79" s="129"/>
      <c r="M79" s="147"/>
      <c r="N79" s="129"/>
      <c r="O79" s="147"/>
      <c r="P79" s="129"/>
      <c r="Q79" s="147"/>
      <c r="R79" s="129"/>
      <c r="S79" s="147"/>
      <c r="T79" s="129"/>
      <c r="U79" s="147"/>
      <c r="V79" s="129"/>
      <c r="W79" s="147"/>
      <c r="X79" s="129"/>
      <c r="Y79" s="147"/>
      <c r="Z79" s="129"/>
      <c r="AA79" s="147"/>
      <c r="AB79" s="129"/>
      <c r="AC79" s="147">
        <f t="shared" si="6"/>
        <v>0</v>
      </c>
      <c r="AD79" s="129"/>
    </row>
    <row r="80" spans="1:30" ht="13.2" hidden="1" outlineLevel="1" x14ac:dyDescent="0.25">
      <c r="A80" s="164"/>
      <c r="B80" s="130" t="s">
        <v>368</v>
      </c>
      <c r="C80" s="120" t="s">
        <v>259</v>
      </c>
      <c r="E80" s="147"/>
      <c r="F80" s="129"/>
      <c r="G80" s="147"/>
      <c r="H80" s="129"/>
      <c r="I80" s="147"/>
      <c r="J80" s="129"/>
      <c r="K80" s="147"/>
      <c r="L80" s="129"/>
      <c r="M80" s="147"/>
      <c r="N80" s="129"/>
      <c r="O80" s="147"/>
      <c r="P80" s="129"/>
      <c r="Q80" s="147"/>
      <c r="R80" s="129"/>
      <c r="S80" s="147"/>
      <c r="T80" s="129"/>
      <c r="U80" s="147"/>
      <c r="V80" s="129"/>
      <c r="W80" s="147"/>
      <c r="X80" s="129"/>
      <c r="Y80" s="147"/>
      <c r="Z80" s="129"/>
      <c r="AA80" s="147"/>
      <c r="AB80" s="129"/>
      <c r="AC80" s="147">
        <f t="shared" si="6"/>
        <v>0</v>
      </c>
      <c r="AD80" s="129"/>
    </row>
    <row r="81" spans="1:30" ht="13.2" hidden="1" outlineLevel="1" x14ac:dyDescent="0.25">
      <c r="A81" s="164"/>
      <c r="B81" s="130" t="s">
        <v>244</v>
      </c>
      <c r="C81" s="120" t="s">
        <v>260</v>
      </c>
      <c r="E81" s="147"/>
      <c r="F81" s="129"/>
      <c r="G81" s="147"/>
      <c r="H81" s="129"/>
      <c r="I81" s="147"/>
      <c r="J81" s="129"/>
      <c r="K81" s="147"/>
      <c r="L81" s="129"/>
      <c r="M81" s="147"/>
      <c r="N81" s="129"/>
      <c r="O81" s="147"/>
      <c r="P81" s="129"/>
      <c r="Q81" s="147"/>
      <c r="R81" s="129"/>
      <c r="S81" s="147"/>
      <c r="T81" s="129"/>
      <c r="U81" s="147"/>
      <c r="V81" s="129"/>
      <c r="W81" s="147"/>
      <c r="X81" s="129"/>
      <c r="Y81" s="147"/>
      <c r="Z81" s="129"/>
      <c r="AA81" s="147"/>
      <c r="AB81" s="129"/>
      <c r="AC81" s="147">
        <f t="shared" si="6"/>
        <v>0</v>
      </c>
      <c r="AD81" s="129"/>
    </row>
    <row r="82" spans="1:30" ht="13.2" collapsed="1" x14ac:dyDescent="0.25">
      <c r="A82" s="164"/>
      <c r="B82" s="164" t="s">
        <v>246</v>
      </c>
      <c r="C82" s="164" t="s">
        <v>261</v>
      </c>
      <c r="E82" s="159">
        <f>+'COST DATA'!$D$47</f>
        <v>141.66666666666666</v>
      </c>
      <c r="F82" s="129"/>
      <c r="G82" s="159">
        <f>+'COST DATA'!$D$47</f>
        <v>141.66666666666666</v>
      </c>
      <c r="H82" s="129"/>
      <c r="I82" s="159">
        <f>+'COST DATA'!$D$47</f>
        <v>141.66666666666666</v>
      </c>
      <c r="J82" s="129"/>
      <c r="K82" s="159">
        <f>+'COST DATA'!$D$47</f>
        <v>141.66666666666666</v>
      </c>
      <c r="L82" s="129"/>
      <c r="M82" s="159">
        <f>+'COST DATA'!$D$47</f>
        <v>141.66666666666666</v>
      </c>
      <c r="N82" s="129"/>
      <c r="O82" s="159">
        <f>+'COST DATA'!$D$47</f>
        <v>141.66666666666666</v>
      </c>
      <c r="P82" s="129"/>
      <c r="Q82" s="159">
        <f>+'COST DATA'!$D$47</f>
        <v>141.66666666666666</v>
      </c>
      <c r="R82" s="129"/>
      <c r="S82" s="159">
        <f>+'COST DATA'!$D$47</f>
        <v>141.66666666666666</v>
      </c>
      <c r="T82" s="129"/>
      <c r="U82" s="159">
        <f>+'COST DATA'!$D$47</f>
        <v>141.66666666666666</v>
      </c>
      <c r="V82" s="129"/>
      <c r="W82" s="159">
        <f>+'COST DATA'!$D$47</f>
        <v>141.66666666666666</v>
      </c>
      <c r="X82" s="129"/>
      <c r="Y82" s="159">
        <f>+'COST DATA'!$D$47</f>
        <v>141.66666666666666</v>
      </c>
      <c r="Z82" s="129"/>
      <c r="AA82" s="159">
        <f>+'COST DATA'!$D$47</f>
        <v>141.66666666666666</v>
      </c>
      <c r="AB82" s="129"/>
      <c r="AC82" s="159">
        <f t="shared" si="6"/>
        <v>1700.0000000000002</v>
      </c>
      <c r="AD82" s="129"/>
    </row>
    <row r="83" spans="1:30" ht="13.2" hidden="1" outlineLevel="1" x14ac:dyDescent="0.25">
      <c r="A83" s="164"/>
      <c r="B83" s="130" t="s">
        <v>369</v>
      </c>
      <c r="C83" s="120" t="s">
        <v>262</v>
      </c>
      <c r="E83" s="147"/>
      <c r="F83" s="129"/>
      <c r="G83" s="147"/>
      <c r="H83" s="129"/>
      <c r="I83" s="147"/>
      <c r="J83" s="129"/>
      <c r="K83" s="147"/>
      <c r="L83" s="129"/>
      <c r="M83" s="147"/>
      <c r="N83" s="129"/>
      <c r="O83" s="147"/>
      <c r="P83" s="129"/>
      <c r="Q83" s="147"/>
      <c r="R83" s="129"/>
      <c r="S83" s="147"/>
      <c r="T83" s="129"/>
      <c r="U83" s="147"/>
      <c r="V83" s="129"/>
      <c r="W83" s="147"/>
      <c r="X83" s="129"/>
      <c r="Y83" s="147"/>
      <c r="Z83" s="129"/>
      <c r="AA83" s="147"/>
      <c r="AB83" s="129"/>
      <c r="AC83" s="147">
        <f t="shared" si="6"/>
        <v>0</v>
      </c>
      <c r="AD83" s="129"/>
    </row>
    <row r="84" spans="1:30" ht="13.2" hidden="1" outlineLevel="1" x14ac:dyDescent="0.25">
      <c r="A84" s="164"/>
      <c r="B84" s="130" t="s">
        <v>370</v>
      </c>
      <c r="C84" s="120" t="s">
        <v>263</v>
      </c>
      <c r="E84" s="147"/>
      <c r="F84" s="129"/>
      <c r="G84" s="147"/>
      <c r="H84" s="129"/>
      <c r="I84" s="147"/>
      <c r="J84" s="129"/>
      <c r="K84" s="147"/>
      <c r="L84" s="129"/>
      <c r="M84" s="147"/>
      <c r="N84" s="129"/>
      <c r="O84" s="147"/>
      <c r="P84" s="129"/>
      <c r="Q84" s="147"/>
      <c r="R84" s="129"/>
      <c r="S84" s="147"/>
      <c r="T84" s="129"/>
      <c r="U84" s="147"/>
      <c r="V84" s="129"/>
      <c r="W84" s="147"/>
      <c r="X84" s="129"/>
      <c r="Y84" s="147"/>
      <c r="Z84" s="129"/>
      <c r="AA84" s="147"/>
      <c r="AB84" s="129"/>
      <c r="AC84" s="147">
        <f t="shared" si="6"/>
        <v>0</v>
      </c>
      <c r="AD84" s="129"/>
    </row>
    <row r="85" spans="1:30" ht="13.2" hidden="1" outlineLevel="1" x14ac:dyDescent="0.25">
      <c r="A85" s="164"/>
      <c r="B85" s="130" t="s">
        <v>247</v>
      </c>
      <c r="C85" s="120" t="s">
        <v>264</v>
      </c>
      <c r="E85" s="147"/>
      <c r="F85" s="129"/>
      <c r="G85" s="147"/>
      <c r="H85" s="129"/>
      <c r="I85" s="147"/>
      <c r="J85" s="129"/>
      <c r="K85" s="147"/>
      <c r="L85" s="129"/>
      <c r="M85" s="147"/>
      <c r="N85" s="129"/>
      <c r="O85" s="147"/>
      <c r="P85" s="129"/>
      <c r="Q85" s="147"/>
      <c r="R85" s="129"/>
      <c r="S85" s="147"/>
      <c r="T85" s="129"/>
      <c r="U85" s="147"/>
      <c r="V85" s="129"/>
      <c r="W85" s="147"/>
      <c r="X85" s="129"/>
      <c r="Y85" s="147"/>
      <c r="Z85" s="129"/>
      <c r="AA85" s="147"/>
      <c r="AB85" s="129"/>
      <c r="AC85" s="147">
        <f t="shared" si="6"/>
        <v>0</v>
      </c>
      <c r="AD85" s="129"/>
    </row>
    <row r="86" spans="1:30" ht="13.2" hidden="1" outlineLevel="1" x14ac:dyDescent="0.25">
      <c r="A86" s="164"/>
      <c r="B86" s="130" t="s">
        <v>371</v>
      </c>
      <c r="C86" s="120" t="s">
        <v>265</v>
      </c>
      <c r="E86" s="147"/>
      <c r="F86" s="129"/>
      <c r="G86" s="147"/>
      <c r="H86" s="129"/>
      <c r="I86" s="147"/>
      <c r="J86" s="129"/>
      <c r="K86" s="147"/>
      <c r="L86" s="129"/>
      <c r="M86" s="147"/>
      <c r="N86" s="129"/>
      <c r="O86" s="147"/>
      <c r="P86" s="129"/>
      <c r="Q86" s="147"/>
      <c r="R86" s="129"/>
      <c r="S86" s="147"/>
      <c r="T86" s="129"/>
      <c r="U86" s="147"/>
      <c r="V86" s="129"/>
      <c r="W86" s="147"/>
      <c r="X86" s="129"/>
      <c r="Y86" s="147"/>
      <c r="Z86" s="129"/>
      <c r="AA86" s="147"/>
      <c r="AB86" s="129"/>
      <c r="AC86" s="147">
        <f t="shared" si="6"/>
        <v>0</v>
      </c>
      <c r="AD86" s="129"/>
    </row>
    <row r="87" spans="1:30" ht="13.2" hidden="1" outlineLevel="1" x14ac:dyDescent="0.25">
      <c r="A87" s="164"/>
      <c r="B87" s="130" t="s">
        <v>373</v>
      </c>
      <c r="C87" s="120" t="s">
        <v>266</v>
      </c>
      <c r="E87" s="147"/>
      <c r="F87" s="129"/>
      <c r="G87" s="147"/>
      <c r="H87" s="129"/>
      <c r="I87" s="147"/>
      <c r="J87" s="129"/>
      <c r="K87" s="147"/>
      <c r="L87" s="129"/>
      <c r="M87" s="147"/>
      <c r="N87" s="129"/>
      <c r="O87" s="147"/>
      <c r="P87" s="129"/>
      <c r="Q87" s="147"/>
      <c r="R87" s="129"/>
      <c r="S87" s="147"/>
      <c r="T87" s="129"/>
      <c r="U87" s="147"/>
      <c r="V87" s="129"/>
      <c r="W87" s="147"/>
      <c r="X87" s="129"/>
      <c r="Y87" s="147"/>
      <c r="Z87" s="129"/>
      <c r="AA87" s="147"/>
      <c r="AB87" s="129"/>
      <c r="AC87" s="147">
        <f t="shared" si="6"/>
        <v>0</v>
      </c>
      <c r="AD87" s="129"/>
    </row>
    <row r="88" spans="1:30" ht="13.2" collapsed="1" x14ac:dyDescent="0.25">
      <c r="A88" s="164"/>
      <c r="B88" s="164" t="s">
        <v>248</v>
      </c>
      <c r="C88" s="164" t="s">
        <v>267</v>
      </c>
      <c r="E88" s="159">
        <f>+'COST DATA'!$D$48</f>
        <v>20</v>
      </c>
      <c r="F88" s="129"/>
      <c r="G88" s="159">
        <f>+'COST DATA'!$D$48</f>
        <v>20</v>
      </c>
      <c r="H88" s="129"/>
      <c r="I88" s="159">
        <f>+'COST DATA'!$D$48</f>
        <v>20</v>
      </c>
      <c r="J88" s="129"/>
      <c r="K88" s="159">
        <f>+'COST DATA'!$D$48</f>
        <v>20</v>
      </c>
      <c r="L88" s="129"/>
      <c r="M88" s="159">
        <f>+'COST DATA'!$D$48</f>
        <v>20</v>
      </c>
      <c r="N88" s="129"/>
      <c r="O88" s="159">
        <f>+'COST DATA'!$D$48</f>
        <v>20</v>
      </c>
      <c r="P88" s="129"/>
      <c r="Q88" s="159">
        <f>+'COST DATA'!$D$48</f>
        <v>20</v>
      </c>
      <c r="R88" s="129"/>
      <c r="S88" s="159">
        <f>+'COST DATA'!$D$48</f>
        <v>20</v>
      </c>
      <c r="T88" s="129"/>
      <c r="U88" s="159">
        <f>+'COST DATA'!$D$48</f>
        <v>20</v>
      </c>
      <c r="V88" s="129"/>
      <c r="W88" s="159">
        <f>+'COST DATA'!$D$48</f>
        <v>20</v>
      </c>
      <c r="X88" s="129"/>
      <c r="Y88" s="159">
        <f>+'COST DATA'!$D$48</f>
        <v>20</v>
      </c>
      <c r="Z88" s="129"/>
      <c r="AA88" s="159">
        <f>+'COST DATA'!$D$48</f>
        <v>20</v>
      </c>
      <c r="AB88" s="129"/>
      <c r="AC88" s="159">
        <f t="shared" si="6"/>
        <v>240</v>
      </c>
      <c r="AD88" s="129"/>
    </row>
    <row r="89" spans="1:30" ht="13.2" x14ac:dyDescent="0.25">
      <c r="A89" s="164"/>
      <c r="B89" s="166" t="s">
        <v>374</v>
      </c>
      <c r="C89" s="164" t="s">
        <v>268</v>
      </c>
      <c r="E89" s="159">
        <f>+'COST DATA'!$D$49</f>
        <v>4.166666666666667</v>
      </c>
      <c r="F89" s="129"/>
      <c r="G89" s="159">
        <f>+'COST DATA'!$D$49</f>
        <v>4.166666666666667</v>
      </c>
      <c r="H89" s="129"/>
      <c r="I89" s="159">
        <f>+'COST DATA'!$D$49</f>
        <v>4.166666666666667</v>
      </c>
      <c r="J89" s="129"/>
      <c r="K89" s="159">
        <f>+'COST DATA'!$D$49</f>
        <v>4.166666666666667</v>
      </c>
      <c r="L89" s="129"/>
      <c r="M89" s="159">
        <f>+'COST DATA'!$D$49</f>
        <v>4.166666666666667</v>
      </c>
      <c r="N89" s="129"/>
      <c r="O89" s="159">
        <f>+'COST DATA'!$D$49</f>
        <v>4.166666666666667</v>
      </c>
      <c r="P89" s="129"/>
      <c r="Q89" s="159">
        <f>+'COST DATA'!$D$49</f>
        <v>4.166666666666667</v>
      </c>
      <c r="R89" s="129"/>
      <c r="S89" s="159">
        <f>+'COST DATA'!$D$49</f>
        <v>4.166666666666667</v>
      </c>
      <c r="T89" s="129"/>
      <c r="U89" s="159">
        <f>+'COST DATA'!$D$49</f>
        <v>4.166666666666667</v>
      </c>
      <c r="V89" s="129"/>
      <c r="W89" s="159">
        <f>+'COST DATA'!$D$49</f>
        <v>4.166666666666667</v>
      </c>
      <c r="X89" s="129"/>
      <c r="Y89" s="159">
        <f>+'COST DATA'!$D$49</f>
        <v>4.166666666666667</v>
      </c>
      <c r="Z89" s="129"/>
      <c r="AA89" s="159">
        <f>+'COST DATA'!$D$49</f>
        <v>4.166666666666667</v>
      </c>
      <c r="AB89" s="129"/>
      <c r="AC89" s="157">
        <f t="shared" si="6"/>
        <v>49.999999999999993</v>
      </c>
      <c r="AD89" s="129"/>
    </row>
    <row r="90" spans="1:30" ht="13.2" x14ac:dyDescent="0.25">
      <c r="A90" s="164"/>
      <c r="B90" s="166" t="s">
        <v>375</v>
      </c>
      <c r="C90" s="164" t="s">
        <v>269</v>
      </c>
      <c r="E90" s="159">
        <f>+'COST DATA'!$D$50</f>
        <v>20.833333333333332</v>
      </c>
      <c r="F90" s="129"/>
      <c r="G90" s="159">
        <f>+'COST DATA'!$D$50</f>
        <v>20.833333333333332</v>
      </c>
      <c r="H90" s="129"/>
      <c r="I90" s="159">
        <f>+'COST DATA'!$D$50</f>
        <v>20.833333333333332</v>
      </c>
      <c r="J90" s="129"/>
      <c r="K90" s="159">
        <f>+'COST DATA'!$D$50</f>
        <v>20.833333333333332</v>
      </c>
      <c r="L90" s="129"/>
      <c r="M90" s="159">
        <f>+'COST DATA'!$D$50</f>
        <v>20.833333333333332</v>
      </c>
      <c r="N90" s="129"/>
      <c r="O90" s="159">
        <f>+'COST DATA'!$D$50</f>
        <v>20.833333333333332</v>
      </c>
      <c r="P90" s="129"/>
      <c r="Q90" s="159">
        <f>+'COST DATA'!$D$50</f>
        <v>20.833333333333332</v>
      </c>
      <c r="R90" s="129"/>
      <c r="S90" s="159">
        <f>+'COST DATA'!$D$50</f>
        <v>20.833333333333332</v>
      </c>
      <c r="T90" s="129"/>
      <c r="U90" s="159">
        <f>+'COST DATA'!$D$50</f>
        <v>20.833333333333332</v>
      </c>
      <c r="V90" s="129"/>
      <c r="W90" s="159">
        <f>+'COST DATA'!$D$50</f>
        <v>20.833333333333332</v>
      </c>
      <c r="X90" s="129"/>
      <c r="Y90" s="159">
        <f>+'COST DATA'!$D$50</f>
        <v>20.833333333333332</v>
      </c>
      <c r="Z90" s="129"/>
      <c r="AA90" s="159">
        <f>+'COST DATA'!$D$50</f>
        <v>20.833333333333332</v>
      </c>
      <c r="AB90" s="129"/>
      <c r="AC90" s="157">
        <f t="shared" si="6"/>
        <v>250.00000000000003</v>
      </c>
      <c r="AD90" s="129"/>
    </row>
    <row r="91" spans="1:30" ht="13.2" x14ac:dyDescent="0.25">
      <c r="A91" s="164"/>
      <c r="B91" s="166" t="s">
        <v>249</v>
      </c>
      <c r="C91" s="164" t="s">
        <v>270</v>
      </c>
      <c r="E91" s="159">
        <f>+'COST DATA'!$D$51</f>
        <v>16.666666666666668</v>
      </c>
      <c r="F91" s="129"/>
      <c r="G91" s="159">
        <f>+'COST DATA'!$D$51</f>
        <v>16.666666666666668</v>
      </c>
      <c r="H91" s="129"/>
      <c r="I91" s="159">
        <f>+'COST DATA'!$D$51</f>
        <v>16.666666666666668</v>
      </c>
      <c r="J91" s="129"/>
      <c r="K91" s="159">
        <f>+'COST DATA'!$D$51</f>
        <v>16.666666666666668</v>
      </c>
      <c r="L91" s="129"/>
      <c r="M91" s="159">
        <f>+'COST DATA'!$D$51</f>
        <v>16.666666666666668</v>
      </c>
      <c r="N91" s="129"/>
      <c r="O91" s="159">
        <f>+'COST DATA'!$D$51</f>
        <v>16.666666666666668</v>
      </c>
      <c r="P91" s="129"/>
      <c r="Q91" s="159">
        <f>+'COST DATA'!$D$51</f>
        <v>16.666666666666668</v>
      </c>
      <c r="R91" s="129"/>
      <c r="S91" s="159">
        <f>+'COST DATA'!$D$51</f>
        <v>16.666666666666668</v>
      </c>
      <c r="T91" s="129"/>
      <c r="U91" s="159">
        <f>+'COST DATA'!$D$51</f>
        <v>16.666666666666668</v>
      </c>
      <c r="V91" s="129"/>
      <c r="W91" s="159">
        <f>+'COST DATA'!$D$51</f>
        <v>16.666666666666668</v>
      </c>
      <c r="X91" s="129"/>
      <c r="Y91" s="159">
        <f>+'COST DATA'!$D$51</f>
        <v>16.666666666666668</v>
      </c>
      <c r="Z91" s="129"/>
      <c r="AA91" s="159">
        <f>+'COST DATA'!$D$51</f>
        <v>16.666666666666668</v>
      </c>
      <c r="AB91" s="129"/>
      <c r="AC91" s="157">
        <f t="shared" si="6"/>
        <v>199.99999999999997</v>
      </c>
      <c r="AD91" s="129"/>
    </row>
    <row r="92" spans="1:30" ht="13.2" hidden="1" outlineLevel="1" x14ac:dyDescent="0.25">
      <c r="A92" s="164"/>
      <c r="B92" s="130" t="s">
        <v>250</v>
      </c>
      <c r="C92" s="120" t="s">
        <v>271</v>
      </c>
      <c r="E92" s="159">
        <f>+'COST DATA'!$D52</f>
        <v>0</v>
      </c>
      <c r="F92" s="129"/>
      <c r="G92" s="159">
        <f>+'COST DATA'!$D52</f>
        <v>0</v>
      </c>
      <c r="H92" s="129"/>
      <c r="I92" s="159">
        <f>+'COST DATA'!$D52</f>
        <v>0</v>
      </c>
      <c r="J92" s="129"/>
      <c r="K92" s="159">
        <f>+'COST DATA'!$D52</f>
        <v>0</v>
      </c>
      <c r="L92" s="129"/>
      <c r="M92" s="159">
        <f>+'COST DATA'!$D52</f>
        <v>0</v>
      </c>
      <c r="N92" s="129"/>
      <c r="O92" s="159">
        <f>+'COST DATA'!$D52</f>
        <v>0</v>
      </c>
      <c r="P92" s="129"/>
      <c r="Q92" s="159">
        <f>+'COST DATA'!$D52</f>
        <v>0</v>
      </c>
      <c r="R92" s="129"/>
      <c r="S92" s="159">
        <f>+'COST DATA'!$D52</f>
        <v>0</v>
      </c>
      <c r="T92" s="129"/>
      <c r="U92" s="159">
        <f>+'COST DATA'!$D52</f>
        <v>0</v>
      </c>
      <c r="V92" s="129"/>
      <c r="W92" s="159">
        <f>+'COST DATA'!$D52</f>
        <v>0</v>
      </c>
      <c r="X92" s="129"/>
      <c r="Y92" s="159">
        <f>+'COST DATA'!$D52</f>
        <v>0</v>
      </c>
      <c r="Z92" s="129"/>
      <c r="AA92" s="159">
        <f>+'COST DATA'!$D52</f>
        <v>0</v>
      </c>
      <c r="AB92" s="129"/>
      <c r="AC92" s="157">
        <f t="shared" si="6"/>
        <v>0</v>
      </c>
      <c r="AD92" s="129"/>
    </row>
    <row r="93" spans="1:30" ht="13.2" hidden="1" outlineLevel="1" x14ac:dyDescent="0.25">
      <c r="A93" s="164"/>
      <c r="B93" s="130" t="s">
        <v>376</v>
      </c>
      <c r="C93" s="120" t="s">
        <v>272</v>
      </c>
      <c r="E93" s="159">
        <f>+'COST DATA'!$D53</f>
        <v>0</v>
      </c>
      <c r="F93" s="129"/>
      <c r="G93" s="159">
        <f>+'COST DATA'!$D53</f>
        <v>0</v>
      </c>
      <c r="H93" s="129"/>
      <c r="I93" s="159">
        <f>+'COST DATA'!$D53</f>
        <v>0</v>
      </c>
      <c r="J93" s="129"/>
      <c r="K93" s="159">
        <f>+'COST DATA'!$D53</f>
        <v>0</v>
      </c>
      <c r="L93" s="129"/>
      <c r="M93" s="159">
        <f>+'COST DATA'!$D53</f>
        <v>0</v>
      </c>
      <c r="N93" s="129"/>
      <c r="O93" s="159">
        <f>+'COST DATA'!$D53</f>
        <v>0</v>
      </c>
      <c r="P93" s="129"/>
      <c r="Q93" s="159">
        <f>+'COST DATA'!$D53</f>
        <v>0</v>
      </c>
      <c r="R93" s="129"/>
      <c r="S93" s="159">
        <f>+'COST DATA'!$D53</f>
        <v>0</v>
      </c>
      <c r="T93" s="129"/>
      <c r="U93" s="159">
        <f>+'COST DATA'!$D53</f>
        <v>0</v>
      </c>
      <c r="V93" s="129"/>
      <c r="W93" s="159">
        <f>+'COST DATA'!$D53</f>
        <v>0</v>
      </c>
      <c r="X93" s="129"/>
      <c r="Y93" s="159">
        <f>+'COST DATA'!$D53</f>
        <v>0</v>
      </c>
      <c r="Z93" s="129"/>
      <c r="AA93" s="159">
        <f>+'COST DATA'!$D53</f>
        <v>0</v>
      </c>
      <c r="AB93" s="129"/>
      <c r="AC93" s="157">
        <f t="shared" si="6"/>
        <v>0</v>
      </c>
      <c r="AD93" s="129"/>
    </row>
    <row r="94" spans="1:30" ht="13.2" hidden="1" outlineLevel="1" x14ac:dyDescent="0.25">
      <c r="A94" s="164"/>
      <c r="B94" s="130" t="s">
        <v>251</v>
      </c>
      <c r="C94" s="120" t="s">
        <v>273</v>
      </c>
      <c r="E94" s="159">
        <f>+'COST DATA'!$D54</f>
        <v>0</v>
      </c>
      <c r="F94" s="129"/>
      <c r="G94" s="159">
        <f>+'COST DATA'!$D54</f>
        <v>0</v>
      </c>
      <c r="H94" s="129"/>
      <c r="I94" s="159">
        <f>+'COST DATA'!$D54</f>
        <v>0</v>
      </c>
      <c r="J94" s="129"/>
      <c r="K94" s="159">
        <f>+'COST DATA'!$D54</f>
        <v>0</v>
      </c>
      <c r="L94" s="129"/>
      <c r="M94" s="159">
        <f>+'COST DATA'!$D54</f>
        <v>0</v>
      </c>
      <c r="N94" s="129"/>
      <c r="O94" s="159">
        <f>+'COST DATA'!$D54</f>
        <v>0</v>
      </c>
      <c r="P94" s="129"/>
      <c r="Q94" s="159">
        <f>+'COST DATA'!$D54</f>
        <v>0</v>
      </c>
      <c r="R94" s="129"/>
      <c r="S94" s="159">
        <f>+'COST DATA'!$D54</f>
        <v>0</v>
      </c>
      <c r="T94" s="129"/>
      <c r="U94" s="159">
        <f>+'COST DATA'!$D54</f>
        <v>0</v>
      </c>
      <c r="V94" s="129"/>
      <c r="W94" s="159">
        <f>+'COST DATA'!$D54</f>
        <v>0</v>
      </c>
      <c r="X94" s="129"/>
      <c r="Y94" s="159">
        <f>+'COST DATA'!$D54</f>
        <v>0</v>
      </c>
      <c r="Z94" s="129"/>
      <c r="AA94" s="159">
        <f>+'COST DATA'!$D54</f>
        <v>0</v>
      </c>
      <c r="AB94" s="129"/>
      <c r="AC94" s="157">
        <f t="shared" si="6"/>
        <v>0</v>
      </c>
      <c r="AD94" s="129"/>
    </row>
    <row r="95" spans="1:30" ht="13.2" hidden="1" outlineLevel="1" x14ac:dyDescent="0.25">
      <c r="A95" s="164"/>
      <c r="B95" s="130" t="s">
        <v>253</v>
      </c>
      <c r="C95" s="120" t="s">
        <v>274</v>
      </c>
      <c r="E95" s="159">
        <f>+'COST DATA'!$D55</f>
        <v>0</v>
      </c>
      <c r="F95" s="129"/>
      <c r="G95" s="159">
        <f>+'COST DATA'!$D55</f>
        <v>0</v>
      </c>
      <c r="H95" s="129"/>
      <c r="I95" s="159">
        <f>+'COST DATA'!$D55</f>
        <v>0</v>
      </c>
      <c r="J95" s="129"/>
      <c r="K95" s="159">
        <f>+'COST DATA'!$D55</f>
        <v>0</v>
      </c>
      <c r="L95" s="129"/>
      <c r="M95" s="159">
        <f>+'COST DATA'!$D55</f>
        <v>0</v>
      </c>
      <c r="N95" s="129"/>
      <c r="O95" s="159">
        <f>+'COST DATA'!$D55</f>
        <v>0</v>
      </c>
      <c r="P95" s="129"/>
      <c r="Q95" s="159">
        <f>+'COST DATA'!$D55</f>
        <v>0</v>
      </c>
      <c r="R95" s="129"/>
      <c r="S95" s="159">
        <f>+'COST DATA'!$D55</f>
        <v>0</v>
      </c>
      <c r="T95" s="129"/>
      <c r="U95" s="159">
        <f>+'COST DATA'!$D55</f>
        <v>0</v>
      </c>
      <c r="V95" s="129"/>
      <c r="W95" s="159">
        <f>+'COST DATA'!$D55</f>
        <v>0</v>
      </c>
      <c r="X95" s="129"/>
      <c r="Y95" s="159">
        <f>+'COST DATA'!$D55</f>
        <v>0</v>
      </c>
      <c r="Z95" s="129"/>
      <c r="AA95" s="159">
        <f>+'COST DATA'!$D55</f>
        <v>0</v>
      </c>
      <c r="AB95" s="129"/>
      <c r="AC95" s="157">
        <f t="shared" si="6"/>
        <v>0</v>
      </c>
      <c r="AD95" s="129"/>
    </row>
    <row r="96" spans="1:30" ht="13.2" hidden="1" outlineLevel="1" x14ac:dyDescent="0.25">
      <c r="A96" s="164"/>
      <c r="B96" s="130" t="s">
        <v>255</v>
      </c>
      <c r="C96" s="120" t="s">
        <v>275</v>
      </c>
      <c r="E96" s="159">
        <f>+'COST DATA'!$D56</f>
        <v>0</v>
      </c>
      <c r="F96" s="129"/>
      <c r="G96" s="159">
        <f>+'COST DATA'!$D56</f>
        <v>0</v>
      </c>
      <c r="H96" s="129"/>
      <c r="I96" s="159">
        <f>+'COST DATA'!$D56</f>
        <v>0</v>
      </c>
      <c r="J96" s="129"/>
      <c r="K96" s="159">
        <f>+'COST DATA'!$D56</f>
        <v>0</v>
      </c>
      <c r="L96" s="129"/>
      <c r="M96" s="159">
        <f>+'COST DATA'!$D56</f>
        <v>0</v>
      </c>
      <c r="N96" s="129"/>
      <c r="O96" s="159">
        <f>+'COST DATA'!$D56</f>
        <v>0</v>
      </c>
      <c r="P96" s="129"/>
      <c r="Q96" s="159">
        <f>+'COST DATA'!$D56</f>
        <v>0</v>
      </c>
      <c r="R96" s="129"/>
      <c r="S96" s="159">
        <f>+'COST DATA'!$D56</f>
        <v>0</v>
      </c>
      <c r="T96" s="129"/>
      <c r="U96" s="159">
        <f>+'COST DATA'!$D56</f>
        <v>0</v>
      </c>
      <c r="V96" s="129"/>
      <c r="W96" s="159">
        <f>+'COST DATA'!$D56</f>
        <v>0</v>
      </c>
      <c r="X96" s="129"/>
      <c r="Y96" s="159">
        <f>+'COST DATA'!$D56</f>
        <v>0</v>
      </c>
      <c r="Z96" s="129"/>
      <c r="AA96" s="159">
        <f>+'COST DATA'!$D56</f>
        <v>0</v>
      </c>
      <c r="AB96" s="129"/>
      <c r="AC96" s="157">
        <f t="shared" si="6"/>
        <v>0</v>
      </c>
      <c r="AD96" s="129"/>
    </row>
    <row r="97" spans="1:30" ht="13.2" hidden="1" outlineLevel="1" x14ac:dyDescent="0.25">
      <c r="A97" s="164"/>
      <c r="B97" s="130" t="s">
        <v>256</v>
      </c>
      <c r="C97" s="120" t="s">
        <v>276</v>
      </c>
      <c r="E97" s="159">
        <f>+'COST DATA'!$D57</f>
        <v>0</v>
      </c>
      <c r="F97" s="129"/>
      <c r="G97" s="159">
        <f>+'COST DATA'!$D57</f>
        <v>0</v>
      </c>
      <c r="H97" s="129"/>
      <c r="I97" s="159">
        <f>+'COST DATA'!$D57</f>
        <v>0</v>
      </c>
      <c r="J97" s="129"/>
      <c r="K97" s="159">
        <f>+'COST DATA'!$D57</f>
        <v>0</v>
      </c>
      <c r="L97" s="129"/>
      <c r="M97" s="159">
        <f>+'COST DATA'!$D57</f>
        <v>0</v>
      </c>
      <c r="N97" s="129"/>
      <c r="O97" s="159">
        <f>+'COST DATA'!$D57</f>
        <v>0</v>
      </c>
      <c r="P97" s="129"/>
      <c r="Q97" s="159">
        <f>+'COST DATA'!$D57</f>
        <v>0</v>
      </c>
      <c r="R97" s="129"/>
      <c r="S97" s="159">
        <f>+'COST DATA'!$D57</f>
        <v>0</v>
      </c>
      <c r="T97" s="129"/>
      <c r="U97" s="159">
        <f>+'COST DATA'!$D57</f>
        <v>0</v>
      </c>
      <c r="V97" s="129"/>
      <c r="W97" s="159">
        <f>+'COST DATA'!$D57</f>
        <v>0</v>
      </c>
      <c r="X97" s="129"/>
      <c r="Y97" s="159">
        <f>+'COST DATA'!$D57</f>
        <v>0</v>
      </c>
      <c r="Z97" s="129"/>
      <c r="AA97" s="159">
        <f>+'COST DATA'!$D57</f>
        <v>0</v>
      </c>
      <c r="AB97" s="129"/>
      <c r="AC97" s="157">
        <f t="shared" si="6"/>
        <v>0</v>
      </c>
      <c r="AD97" s="129"/>
    </row>
    <row r="98" spans="1:30" ht="13.2" hidden="1" outlineLevel="1" x14ac:dyDescent="0.25">
      <c r="A98" s="164"/>
      <c r="B98" s="130" t="s">
        <v>377</v>
      </c>
      <c r="C98" s="120" t="s">
        <v>277</v>
      </c>
      <c r="E98" s="159">
        <f>+'COST DATA'!$D58</f>
        <v>0</v>
      </c>
      <c r="F98" s="129"/>
      <c r="G98" s="159">
        <f>+'COST DATA'!$D58</f>
        <v>0</v>
      </c>
      <c r="H98" s="129"/>
      <c r="I98" s="159">
        <f>+'COST DATA'!$D58</f>
        <v>0</v>
      </c>
      <c r="J98" s="129"/>
      <c r="K98" s="159">
        <f>+'COST DATA'!$D58</f>
        <v>0</v>
      </c>
      <c r="L98" s="129"/>
      <c r="M98" s="159">
        <f>+'COST DATA'!$D58</f>
        <v>0</v>
      </c>
      <c r="N98" s="129"/>
      <c r="O98" s="159">
        <f>+'COST DATA'!$D58</f>
        <v>0</v>
      </c>
      <c r="P98" s="129"/>
      <c r="Q98" s="159">
        <f>+'COST DATA'!$D58</f>
        <v>0</v>
      </c>
      <c r="R98" s="129"/>
      <c r="S98" s="159">
        <f>+'COST DATA'!$D58</f>
        <v>0</v>
      </c>
      <c r="T98" s="129"/>
      <c r="U98" s="159">
        <f>+'COST DATA'!$D58</f>
        <v>0</v>
      </c>
      <c r="V98" s="129"/>
      <c r="W98" s="159">
        <f>+'COST DATA'!$D58</f>
        <v>0</v>
      </c>
      <c r="X98" s="129"/>
      <c r="Y98" s="159">
        <f>+'COST DATA'!$D58</f>
        <v>0</v>
      </c>
      <c r="Z98" s="129"/>
      <c r="AA98" s="159">
        <f>+'COST DATA'!$D58</f>
        <v>0</v>
      </c>
      <c r="AB98" s="129"/>
      <c r="AC98" s="157">
        <f t="shared" si="6"/>
        <v>0</v>
      </c>
      <c r="AD98" s="129"/>
    </row>
    <row r="99" spans="1:30" ht="13.2" collapsed="1" x14ac:dyDescent="0.25">
      <c r="A99" s="164"/>
      <c r="B99" s="166" t="s">
        <v>378</v>
      </c>
      <c r="C99" s="164" t="s">
        <v>278</v>
      </c>
      <c r="E99" s="159">
        <f>+'COST DATA'!$D$59</f>
        <v>100</v>
      </c>
      <c r="F99" s="129"/>
      <c r="G99" s="159">
        <f>+'COST DATA'!$D$59</f>
        <v>100</v>
      </c>
      <c r="H99" s="129"/>
      <c r="I99" s="159">
        <f>+'COST DATA'!$D$59</f>
        <v>100</v>
      </c>
      <c r="J99" s="129"/>
      <c r="K99" s="159">
        <f>+'COST DATA'!$D$59</f>
        <v>100</v>
      </c>
      <c r="L99" s="129"/>
      <c r="M99" s="159">
        <f>+'COST DATA'!$D$59</f>
        <v>100</v>
      </c>
      <c r="N99" s="129"/>
      <c r="O99" s="159">
        <f>+'COST DATA'!$D$59</f>
        <v>100</v>
      </c>
      <c r="P99" s="129"/>
      <c r="Q99" s="159">
        <f>+'COST DATA'!$D$59</f>
        <v>100</v>
      </c>
      <c r="R99" s="129"/>
      <c r="S99" s="159">
        <f>+'COST DATA'!$D$59</f>
        <v>100</v>
      </c>
      <c r="T99" s="129"/>
      <c r="U99" s="159">
        <f>+'COST DATA'!$D$59</f>
        <v>100</v>
      </c>
      <c r="V99" s="129"/>
      <c r="W99" s="159">
        <f>+'COST DATA'!$D$59</f>
        <v>100</v>
      </c>
      <c r="X99" s="129"/>
      <c r="Y99" s="159">
        <f>+'COST DATA'!$D$59</f>
        <v>100</v>
      </c>
      <c r="Z99" s="129"/>
      <c r="AA99" s="159">
        <f>+'COST DATA'!$D$59</f>
        <v>100</v>
      </c>
      <c r="AB99" s="129"/>
      <c r="AC99" s="157">
        <f t="shared" si="6"/>
        <v>1200</v>
      </c>
      <c r="AD99" s="129"/>
    </row>
    <row r="100" spans="1:30" ht="13.2" x14ac:dyDescent="0.25">
      <c r="A100" s="164"/>
      <c r="B100" s="166" t="s">
        <v>257</v>
      </c>
      <c r="C100" s="164" t="s">
        <v>279</v>
      </c>
      <c r="E100" s="159">
        <f>+'COST DATA'!$D60</f>
        <v>2000</v>
      </c>
      <c r="F100" s="129"/>
      <c r="G100" s="147"/>
      <c r="H100" s="129"/>
      <c r="I100" s="147"/>
      <c r="J100" s="129"/>
      <c r="K100" s="147"/>
      <c r="L100" s="129"/>
      <c r="M100" s="147"/>
      <c r="N100" s="129"/>
      <c r="O100" s="147"/>
      <c r="P100" s="129"/>
      <c r="Q100" s="147"/>
      <c r="R100" s="129"/>
      <c r="S100" s="147"/>
      <c r="T100" s="129"/>
      <c r="U100" s="147"/>
      <c r="V100" s="129"/>
      <c r="W100" s="147"/>
      <c r="X100" s="129"/>
      <c r="Y100" s="147"/>
      <c r="Z100" s="129"/>
      <c r="AA100" s="147"/>
      <c r="AB100" s="129"/>
      <c r="AC100" s="157">
        <f t="shared" si="6"/>
        <v>2000</v>
      </c>
      <c r="AD100" s="129"/>
    </row>
    <row r="101" spans="1:30" ht="13.2" hidden="1" outlineLevel="1" x14ac:dyDescent="0.25">
      <c r="A101" s="164"/>
      <c r="B101" s="130" t="s">
        <v>258</v>
      </c>
      <c r="C101" s="120" t="s">
        <v>280</v>
      </c>
      <c r="E101" s="159">
        <f>+'COST DATA'!$D61</f>
        <v>0</v>
      </c>
      <c r="F101" s="129"/>
      <c r="G101" s="147"/>
      <c r="H101" s="129"/>
      <c r="I101" s="147"/>
      <c r="J101" s="129"/>
      <c r="K101" s="147"/>
      <c r="L101" s="129"/>
      <c r="M101" s="147"/>
      <c r="N101" s="129"/>
      <c r="O101" s="147"/>
      <c r="P101" s="129"/>
      <c r="Q101" s="147"/>
      <c r="R101" s="129"/>
      <c r="S101" s="147"/>
      <c r="T101" s="129"/>
      <c r="U101" s="147"/>
      <c r="V101" s="129"/>
      <c r="W101" s="147"/>
      <c r="X101" s="129"/>
      <c r="Y101" s="147"/>
      <c r="Z101" s="129"/>
      <c r="AA101" s="147"/>
      <c r="AB101" s="129"/>
      <c r="AC101" s="147">
        <f t="shared" si="6"/>
        <v>0</v>
      </c>
      <c r="AD101" s="129"/>
    </row>
    <row r="102" spans="1:30" ht="13.2" collapsed="1" x14ac:dyDescent="0.25">
      <c r="A102" s="164"/>
      <c r="B102" s="123"/>
      <c r="C102" s="124" t="s">
        <v>281</v>
      </c>
      <c r="D102" s="137"/>
      <c r="E102" s="138">
        <f>SUM(E103:E116)</f>
        <v>513.29166666666674</v>
      </c>
      <c r="F102" s="137">
        <f>E102/$E$25</f>
        <v>4.7095731373502536E-2</v>
      </c>
      <c r="G102" s="138">
        <f>SUM(G103:G116)</f>
        <v>513.29166666666674</v>
      </c>
      <c r="H102" s="137">
        <f>G102/$E$25</f>
        <v>4.7095731373502536E-2</v>
      </c>
      <c r="I102" s="138">
        <f>SUM(I103:I116)</f>
        <v>513.29166666666674</v>
      </c>
      <c r="J102" s="137">
        <f>I102/$E$25</f>
        <v>4.7095731373502536E-2</v>
      </c>
      <c r="K102" s="138">
        <f>SUM(K103:K116)</f>
        <v>513.29166666666674</v>
      </c>
      <c r="L102" s="137">
        <f>K102/$E$25</f>
        <v>4.7095731373502536E-2</v>
      </c>
      <c r="M102" s="138">
        <f>SUM(M103:M116)</f>
        <v>513.29166666666674</v>
      </c>
      <c r="N102" s="137">
        <f>M102/$E$25</f>
        <v>4.7095731373502536E-2</v>
      </c>
      <c r="O102" s="138">
        <f>SUM(O103:O116)</f>
        <v>513.29166666666674</v>
      </c>
      <c r="P102" s="137">
        <f>O102/$E$25</f>
        <v>4.7095731373502536E-2</v>
      </c>
      <c r="Q102" s="138">
        <f>SUM(Q103:Q116)</f>
        <v>513.29166666666674</v>
      </c>
      <c r="R102" s="137">
        <f>Q102/$E$25</f>
        <v>4.7095731373502536E-2</v>
      </c>
      <c r="S102" s="138">
        <f>SUM(S103:S116)</f>
        <v>513.29166666666674</v>
      </c>
      <c r="T102" s="137">
        <f>S102/$E$25</f>
        <v>4.7095731373502536E-2</v>
      </c>
      <c r="U102" s="138">
        <f>SUM(U103:U116)</f>
        <v>513.29166666666674</v>
      </c>
      <c r="V102" s="137">
        <f>U102/$E$25</f>
        <v>4.7095731373502536E-2</v>
      </c>
      <c r="W102" s="138">
        <f>SUM(W103:W116)</f>
        <v>513.29166666666674</v>
      </c>
      <c r="X102" s="137">
        <f>W102/$E$25</f>
        <v>4.7095731373502536E-2</v>
      </c>
      <c r="Y102" s="138">
        <f>SUM(Y103:Y116)</f>
        <v>513.29166666666674</v>
      </c>
      <c r="Z102" s="137">
        <f>Y102/$E$25</f>
        <v>4.7095731373502536E-2</v>
      </c>
      <c r="AA102" s="138">
        <f>SUM(AA103:AA116)</f>
        <v>513.29166666666674</v>
      </c>
      <c r="AB102" s="137">
        <f>AA102/$E$25</f>
        <v>4.7095731373502536E-2</v>
      </c>
      <c r="AC102" s="138">
        <f>SUM(AC103:AC116)</f>
        <v>6159.5</v>
      </c>
      <c r="AD102" s="137">
        <f>AC102/$E$25</f>
        <v>0.56514877648203032</v>
      </c>
    </row>
    <row r="103" spans="1:30" ht="13.2" x14ac:dyDescent="0.25">
      <c r="A103" s="164"/>
      <c r="E103" s="148"/>
      <c r="F103" s="129"/>
      <c r="G103" s="148"/>
      <c r="H103" s="129"/>
      <c r="I103" s="148"/>
      <c r="J103" s="129"/>
      <c r="K103" s="148"/>
      <c r="L103" s="129"/>
      <c r="M103" s="148"/>
      <c r="N103" s="129"/>
      <c r="O103" s="148"/>
      <c r="P103" s="129"/>
      <c r="Q103" s="148"/>
      <c r="R103" s="129"/>
      <c r="S103" s="148"/>
      <c r="T103" s="129"/>
      <c r="U103" s="148"/>
      <c r="V103" s="129"/>
      <c r="W103" s="148"/>
      <c r="X103" s="129"/>
      <c r="Y103" s="148"/>
      <c r="Z103" s="129"/>
      <c r="AA103" s="148"/>
      <c r="AB103" s="129"/>
      <c r="AC103" s="148"/>
      <c r="AD103" s="129"/>
    </row>
    <row r="104" spans="1:30" ht="13.2" x14ac:dyDescent="0.25">
      <c r="A104" s="174">
        <v>12</v>
      </c>
      <c r="B104" s="164" t="s">
        <v>282</v>
      </c>
      <c r="C104" s="164" t="s">
        <v>428</v>
      </c>
      <c r="D104" s="146"/>
      <c r="E104" s="157">
        <f>+Ammortamenti!$H$9/$A104</f>
        <v>16.666666666666668</v>
      </c>
      <c r="F104" s="129"/>
      <c r="G104" s="157">
        <f>+Ammortamenti!$H$9/$A104</f>
        <v>16.666666666666668</v>
      </c>
      <c r="H104" s="129"/>
      <c r="I104" s="157">
        <f>+Ammortamenti!$H$9/$A104</f>
        <v>16.666666666666668</v>
      </c>
      <c r="J104" s="129"/>
      <c r="K104" s="157">
        <f>+Ammortamenti!$H$9/$A104</f>
        <v>16.666666666666668</v>
      </c>
      <c r="L104" s="129"/>
      <c r="M104" s="157">
        <f>+Ammortamenti!$H$9/$A104</f>
        <v>16.666666666666668</v>
      </c>
      <c r="N104" s="129"/>
      <c r="O104" s="157">
        <f>+Ammortamenti!$H$9/$A104</f>
        <v>16.666666666666668</v>
      </c>
      <c r="P104" s="129"/>
      <c r="Q104" s="157">
        <f>+Ammortamenti!$H$9/$A104</f>
        <v>16.666666666666668</v>
      </c>
      <c r="R104" s="129"/>
      <c r="S104" s="157">
        <f>+Ammortamenti!$H$9/$A104</f>
        <v>16.666666666666668</v>
      </c>
      <c r="T104" s="129"/>
      <c r="U104" s="157">
        <f>+Ammortamenti!$H$9/$A104</f>
        <v>16.666666666666668</v>
      </c>
      <c r="V104" s="129"/>
      <c r="W104" s="157">
        <f>+Ammortamenti!$H$9/$A104</f>
        <v>16.666666666666668</v>
      </c>
      <c r="X104" s="129"/>
      <c r="Y104" s="157">
        <f>+Ammortamenti!$H$9/$A104</f>
        <v>16.666666666666668</v>
      </c>
      <c r="Z104" s="129"/>
      <c r="AA104" s="157">
        <f>+Ammortamenti!$H$9/$A104</f>
        <v>16.666666666666668</v>
      </c>
      <c r="AB104" s="129"/>
      <c r="AC104" s="157">
        <f t="shared" ref="AC104:AC114" si="7">+E104+G104+I104+K104+M104+O104+Q104+S104+U104+W104+Y104+AA104</f>
        <v>199.99999999999997</v>
      </c>
      <c r="AD104" s="129"/>
    </row>
    <row r="105" spans="1:30" ht="13.2" hidden="1" outlineLevel="1" x14ac:dyDescent="0.25">
      <c r="A105" s="174"/>
      <c r="B105" s="120" t="s">
        <v>379</v>
      </c>
      <c r="C105" s="120" t="s">
        <v>283</v>
      </c>
      <c r="E105" s="147"/>
      <c r="F105" s="129"/>
      <c r="G105" s="147"/>
      <c r="H105" s="129"/>
      <c r="I105" s="147"/>
      <c r="J105" s="129"/>
      <c r="K105" s="147"/>
      <c r="L105" s="129"/>
      <c r="M105" s="147"/>
      <c r="N105" s="129"/>
      <c r="O105" s="147"/>
      <c r="P105" s="129"/>
      <c r="Q105" s="147"/>
      <c r="R105" s="129"/>
      <c r="S105" s="147"/>
      <c r="T105" s="129"/>
      <c r="U105" s="147"/>
      <c r="V105" s="129"/>
      <c r="W105" s="147"/>
      <c r="X105" s="129"/>
      <c r="Y105" s="147"/>
      <c r="Z105" s="129"/>
      <c r="AA105" s="147"/>
      <c r="AB105" s="129"/>
      <c r="AC105" s="147"/>
      <c r="AD105" s="129"/>
    </row>
    <row r="106" spans="1:30" ht="13.2" hidden="1" outlineLevel="1" x14ac:dyDescent="0.25">
      <c r="A106" s="174"/>
      <c r="B106" s="120" t="s">
        <v>284</v>
      </c>
      <c r="C106" s="120" t="s">
        <v>285</v>
      </c>
      <c r="E106" s="147"/>
      <c r="F106" s="129"/>
      <c r="G106" s="147"/>
      <c r="H106" s="129"/>
      <c r="I106" s="147"/>
      <c r="J106" s="129"/>
      <c r="K106" s="147"/>
      <c r="L106" s="129"/>
      <c r="M106" s="147"/>
      <c r="N106" s="129"/>
      <c r="O106" s="147"/>
      <c r="P106" s="129"/>
      <c r="Q106" s="147"/>
      <c r="R106" s="129"/>
      <c r="S106" s="147"/>
      <c r="T106" s="129"/>
      <c r="U106" s="147"/>
      <c r="V106" s="129"/>
      <c r="W106" s="147"/>
      <c r="X106" s="129"/>
      <c r="Y106" s="147"/>
      <c r="Z106" s="129"/>
      <c r="AA106" s="147"/>
      <c r="AB106" s="129"/>
      <c r="AC106" s="147">
        <f t="shared" si="7"/>
        <v>0</v>
      </c>
      <c r="AD106" s="129"/>
    </row>
    <row r="107" spans="1:30" ht="13.2" hidden="1" outlineLevel="1" x14ac:dyDescent="0.25">
      <c r="A107" s="174"/>
      <c r="B107" s="120" t="s">
        <v>286</v>
      </c>
      <c r="C107" s="120" t="s">
        <v>287</v>
      </c>
      <c r="E107" s="147"/>
      <c r="F107" s="129"/>
      <c r="G107" s="147"/>
      <c r="H107" s="129"/>
      <c r="I107" s="147"/>
      <c r="J107" s="129"/>
      <c r="K107" s="147"/>
      <c r="L107" s="129"/>
      <c r="M107" s="147"/>
      <c r="N107" s="129"/>
      <c r="O107" s="147"/>
      <c r="P107" s="129"/>
      <c r="Q107" s="147"/>
      <c r="R107" s="129"/>
      <c r="S107" s="147"/>
      <c r="T107" s="129"/>
      <c r="U107" s="147"/>
      <c r="V107" s="129"/>
      <c r="W107" s="147"/>
      <c r="X107" s="129"/>
      <c r="Y107" s="147"/>
      <c r="Z107" s="129"/>
      <c r="AA107" s="147"/>
      <c r="AB107" s="129"/>
      <c r="AC107" s="147">
        <f t="shared" si="7"/>
        <v>0</v>
      </c>
      <c r="AD107" s="129"/>
    </row>
    <row r="108" spans="1:30" ht="13.2" collapsed="1" x14ac:dyDescent="0.25">
      <c r="A108" s="174">
        <v>12</v>
      </c>
      <c r="B108" s="164" t="s">
        <v>288</v>
      </c>
      <c r="C108" s="164" t="s">
        <v>429</v>
      </c>
      <c r="D108" s="146"/>
      <c r="E108" s="157">
        <f>+Ammortamenti!$H$11/$A108</f>
        <v>17.5</v>
      </c>
      <c r="F108" s="129"/>
      <c r="G108" s="157">
        <f>+Ammortamenti!$H$11/$A108</f>
        <v>17.5</v>
      </c>
      <c r="H108" s="129"/>
      <c r="I108" s="157">
        <f>+Ammortamenti!$H$11/$A108</f>
        <v>17.5</v>
      </c>
      <c r="J108" s="129"/>
      <c r="K108" s="157">
        <f>+Ammortamenti!$H$11/$A108</f>
        <v>17.5</v>
      </c>
      <c r="L108" s="129"/>
      <c r="M108" s="157">
        <f>+Ammortamenti!$H$11/$A108</f>
        <v>17.5</v>
      </c>
      <c r="N108" s="129"/>
      <c r="O108" s="157">
        <f>+Ammortamenti!$H$11/$A108</f>
        <v>17.5</v>
      </c>
      <c r="P108" s="129"/>
      <c r="Q108" s="157">
        <f>+Ammortamenti!$H$11/$A108</f>
        <v>17.5</v>
      </c>
      <c r="R108" s="129"/>
      <c r="S108" s="157">
        <f>+Ammortamenti!$H$11/$A108</f>
        <v>17.5</v>
      </c>
      <c r="T108" s="129"/>
      <c r="U108" s="157">
        <f>+Ammortamenti!$H$11/$A108</f>
        <v>17.5</v>
      </c>
      <c r="V108" s="129"/>
      <c r="W108" s="157">
        <f>+Ammortamenti!$H$11/$A108</f>
        <v>17.5</v>
      </c>
      <c r="X108" s="129"/>
      <c r="Y108" s="157">
        <f>+Ammortamenti!$H$11/$A108</f>
        <v>17.5</v>
      </c>
      <c r="Z108" s="129"/>
      <c r="AA108" s="157">
        <f>+Ammortamenti!$H$11/$A108</f>
        <v>17.5</v>
      </c>
      <c r="AB108" s="129"/>
      <c r="AC108" s="157">
        <f t="shared" si="7"/>
        <v>210</v>
      </c>
      <c r="AD108" s="129"/>
    </row>
    <row r="109" spans="1:30" ht="13.2" x14ac:dyDescent="0.25">
      <c r="A109" s="174">
        <v>12</v>
      </c>
      <c r="B109" s="164" t="s">
        <v>289</v>
      </c>
      <c r="C109" s="164" t="s">
        <v>290</v>
      </c>
      <c r="D109" s="146"/>
      <c r="E109" s="157">
        <f>+Ammortamenti!$H$19/$A109</f>
        <v>6</v>
      </c>
      <c r="F109" s="129"/>
      <c r="G109" s="157">
        <f>+Ammortamenti!$H$19/$A109</f>
        <v>6</v>
      </c>
      <c r="H109" s="129"/>
      <c r="I109" s="157">
        <f>+Ammortamenti!$H$19/$A109</f>
        <v>6</v>
      </c>
      <c r="J109" s="129"/>
      <c r="K109" s="157">
        <f>+Ammortamenti!$H$19/$A109</f>
        <v>6</v>
      </c>
      <c r="L109" s="129"/>
      <c r="M109" s="157">
        <f>+Ammortamenti!$H$19/$A109</f>
        <v>6</v>
      </c>
      <c r="N109" s="129"/>
      <c r="O109" s="157">
        <f>+Ammortamenti!$H$19/$A109</f>
        <v>6</v>
      </c>
      <c r="P109" s="129"/>
      <c r="Q109" s="157">
        <f>+Ammortamenti!$H$19/$A109</f>
        <v>6</v>
      </c>
      <c r="R109" s="129"/>
      <c r="S109" s="157">
        <f>+Ammortamenti!$H$19/$A109</f>
        <v>6</v>
      </c>
      <c r="T109" s="129"/>
      <c r="U109" s="157">
        <f>+Ammortamenti!$H$19/$A109</f>
        <v>6</v>
      </c>
      <c r="V109" s="129"/>
      <c r="W109" s="157">
        <f>+Ammortamenti!$H$19/$A109</f>
        <v>6</v>
      </c>
      <c r="X109" s="129"/>
      <c r="Y109" s="157">
        <f>+Ammortamenti!$H$19/$A109</f>
        <v>6</v>
      </c>
      <c r="Z109" s="129"/>
      <c r="AA109" s="157">
        <f>+Ammortamenti!$H$19/$A109</f>
        <v>6</v>
      </c>
      <c r="AB109" s="129"/>
      <c r="AC109" s="157">
        <f t="shared" si="7"/>
        <v>72</v>
      </c>
      <c r="AD109" s="129"/>
    </row>
    <row r="110" spans="1:30" ht="13.2" hidden="1" outlineLevel="1" x14ac:dyDescent="0.25">
      <c r="A110" s="174"/>
      <c r="B110" s="120" t="s">
        <v>291</v>
      </c>
      <c r="C110" s="120" t="s">
        <v>292</v>
      </c>
      <c r="E110" s="147"/>
      <c r="F110" s="129"/>
      <c r="G110" s="147"/>
      <c r="H110" s="129"/>
      <c r="I110" s="147"/>
      <c r="J110" s="129"/>
      <c r="K110" s="147"/>
      <c r="L110" s="129"/>
      <c r="M110" s="147"/>
      <c r="N110" s="129"/>
      <c r="O110" s="147"/>
      <c r="P110" s="129"/>
      <c r="Q110" s="147"/>
      <c r="R110" s="129"/>
      <c r="S110" s="147"/>
      <c r="T110" s="129"/>
      <c r="U110" s="147"/>
      <c r="V110" s="129"/>
      <c r="W110" s="147"/>
      <c r="X110" s="129"/>
      <c r="Y110" s="147"/>
      <c r="Z110" s="129"/>
      <c r="AA110" s="147"/>
      <c r="AB110" s="129"/>
      <c r="AC110" s="147">
        <f t="shared" si="7"/>
        <v>0</v>
      </c>
      <c r="AD110" s="129"/>
    </row>
    <row r="111" spans="1:30" ht="13.2" hidden="1" outlineLevel="1" x14ac:dyDescent="0.25">
      <c r="A111" s="174"/>
      <c r="B111" s="120" t="s">
        <v>293</v>
      </c>
      <c r="C111" s="120" t="s">
        <v>294</v>
      </c>
      <c r="E111" s="147"/>
      <c r="F111" s="129"/>
      <c r="G111" s="147"/>
      <c r="H111" s="129"/>
      <c r="I111" s="147"/>
      <c r="J111" s="129"/>
      <c r="K111" s="147"/>
      <c r="L111" s="129"/>
      <c r="M111" s="147"/>
      <c r="N111" s="129"/>
      <c r="O111" s="147"/>
      <c r="P111" s="129"/>
      <c r="Q111" s="147"/>
      <c r="R111" s="129"/>
      <c r="S111" s="147"/>
      <c r="T111" s="129"/>
      <c r="U111" s="147"/>
      <c r="V111" s="129"/>
      <c r="W111" s="147"/>
      <c r="X111" s="129"/>
      <c r="Y111" s="147"/>
      <c r="Z111" s="129"/>
      <c r="AA111" s="147"/>
      <c r="AB111" s="129"/>
      <c r="AC111" s="147">
        <f t="shared" si="7"/>
        <v>0</v>
      </c>
      <c r="AD111" s="129"/>
    </row>
    <row r="112" spans="1:30" ht="13.2" hidden="1" outlineLevel="1" x14ac:dyDescent="0.25">
      <c r="A112" s="174"/>
      <c r="B112" s="120" t="s">
        <v>380</v>
      </c>
      <c r="C112" s="120" t="s">
        <v>296</v>
      </c>
      <c r="E112" s="147"/>
      <c r="F112" s="129"/>
      <c r="G112" s="147"/>
      <c r="H112" s="129"/>
      <c r="I112" s="147"/>
      <c r="J112" s="129"/>
      <c r="K112" s="147"/>
      <c r="L112" s="129"/>
      <c r="M112" s="147"/>
      <c r="N112" s="129"/>
      <c r="O112" s="147"/>
      <c r="P112" s="129"/>
      <c r="Q112" s="147"/>
      <c r="R112" s="129"/>
      <c r="S112" s="147"/>
      <c r="T112" s="129"/>
      <c r="U112" s="147"/>
      <c r="V112" s="129"/>
      <c r="W112" s="147"/>
      <c r="X112" s="129"/>
      <c r="Y112" s="147"/>
      <c r="Z112" s="129"/>
      <c r="AA112" s="147"/>
      <c r="AB112" s="129"/>
      <c r="AC112" s="147">
        <f t="shared" si="7"/>
        <v>0</v>
      </c>
      <c r="AD112" s="129"/>
    </row>
    <row r="113" spans="1:30" ht="13.2" collapsed="1" x14ac:dyDescent="0.25">
      <c r="A113" s="174">
        <v>12</v>
      </c>
      <c r="B113" s="164" t="s">
        <v>295</v>
      </c>
      <c r="C113" s="164" t="s">
        <v>381</v>
      </c>
      <c r="D113" s="146"/>
      <c r="E113" s="157">
        <f>+Ammortamenti!$H$2/$A$113</f>
        <v>457.5</v>
      </c>
      <c r="F113" s="129"/>
      <c r="G113" s="157">
        <f>+Ammortamenti!$H$2/$A$113</f>
        <v>457.5</v>
      </c>
      <c r="H113" s="129"/>
      <c r="I113" s="157">
        <f>+Ammortamenti!$H$2/$A$113</f>
        <v>457.5</v>
      </c>
      <c r="J113" s="129"/>
      <c r="K113" s="157">
        <f>+Ammortamenti!$H$2/$A$113</f>
        <v>457.5</v>
      </c>
      <c r="L113" s="129"/>
      <c r="M113" s="157">
        <f>+Ammortamenti!$H$2/$A$113</f>
        <v>457.5</v>
      </c>
      <c r="N113" s="129"/>
      <c r="O113" s="157">
        <f>+Ammortamenti!$H$2/$A$113</f>
        <v>457.5</v>
      </c>
      <c r="P113" s="129"/>
      <c r="Q113" s="157">
        <f>+Ammortamenti!$H$2/$A$113</f>
        <v>457.5</v>
      </c>
      <c r="R113" s="129"/>
      <c r="S113" s="157">
        <f>+Ammortamenti!$H$2/$A$113</f>
        <v>457.5</v>
      </c>
      <c r="T113" s="129"/>
      <c r="U113" s="157">
        <f>+Ammortamenti!$H$2/$A$113</f>
        <v>457.5</v>
      </c>
      <c r="V113" s="129"/>
      <c r="W113" s="157">
        <f>+Ammortamenti!$H$2/$A$113</f>
        <v>457.5</v>
      </c>
      <c r="X113" s="129"/>
      <c r="Y113" s="157">
        <f>+Ammortamenti!$H$2/$A$113</f>
        <v>457.5</v>
      </c>
      <c r="Z113" s="129"/>
      <c r="AA113" s="157">
        <f>+Ammortamenti!$H$2/$A$113</f>
        <v>457.5</v>
      </c>
      <c r="AB113" s="129"/>
      <c r="AC113" s="157">
        <f t="shared" si="7"/>
        <v>5490</v>
      </c>
      <c r="AD113" s="129"/>
    </row>
    <row r="114" spans="1:30" ht="13.2" x14ac:dyDescent="0.25">
      <c r="A114" s="174">
        <v>12</v>
      </c>
      <c r="B114" s="164" t="s">
        <v>427</v>
      </c>
      <c r="C114" s="164" t="s">
        <v>297</v>
      </c>
      <c r="E114" s="157">
        <f>+Ammortamenti!$H$17/$A114</f>
        <v>15.625</v>
      </c>
      <c r="F114" s="129"/>
      <c r="G114" s="157">
        <f>+Ammortamenti!$H$17/$A114</f>
        <v>15.625</v>
      </c>
      <c r="H114" s="129"/>
      <c r="I114" s="157">
        <f>+Ammortamenti!$H$17/$A114</f>
        <v>15.625</v>
      </c>
      <c r="J114" s="129"/>
      <c r="K114" s="157">
        <f>+Ammortamenti!$H$17/$A114</f>
        <v>15.625</v>
      </c>
      <c r="L114" s="129"/>
      <c r="M114" s="157">
        <f>+Ammortamenti!$H$17/$A114</f>
        <v>15.625</v>
      </c>
      <c r="N114" s="129"/>
      <c r="O114" s="157">
        <f>+Ammortamenti!$H$17/$A114</f>
        <v>15.625</v>
      </c>
      <c r="P114" s="129"/>
      <c r="Q114" s="157">
        <f>+Ammortamenti!$H$17/$A114</f>
        <v>15.625</v>
      </c>
      <c r="R114" s="129"/>
      <c r="S114" s="157">
        <f>+Ammortamenti!$H$17/$A114</f>
        <v>15.625</v>
      </c>
      <c r="T114" s="129"/>
      <c r="U114" s="157">
        <f>+Ammortamenti!$H$17/$A114</f>
        <v>15.625</v>
      </c>
      <c r="V114" s="129"/>
      <c r="W114" s="157">
        <f>+Ammortamenti!$H$17/$A114</f>
        <v>15.625</v>
      </c>
      <c r="X114" s="129"/>
      <c r="Y114" s="157">
        <f>+Ammortamenti!$H$17/$A114</f>
        <v>15.625</v>
      </c>
      <c r="Z114" s="129"/>
      <c r="AA114" s="157">
        <f>+Ammortamenti!$H$17/$A114</f>
        <v>15.625</v>
      </c>
      <c r="AB114" s="129"/>
      <c r="AC114" s="157">
        <f t="shared" si="7"/>
        <v>187.5</v>
      </c>
      <c r="AD114" s="129"/>
    </row>
    <row r="115" spans="1:30" ht="13.2" x14ac:dyDescent="0.25">
      <c r="A115" s="164"/>
      <c r="E115" s="148"/>
      <c r="G115" s="148"/>
      <c r="I115" s="148"/>
      <c r="K115" s="148"/>
      <c r="M115" s="148"/>
      <c r="O115" s="148"/>
      <c r="Q115" s="148"/>
      <c r="S115" s="148"/>
      <c r="U115" s="148"/>
      <c r="W115" s="148"/>
      <c r="Y115" s="148"/>
      <c r="AA115" s="148"/>
      <c r="AC115" s="148"/>
    </row>
    <row r="116" spans="1:30" ht="13.2" x14ac:dyDescent="0.25">
      <c r="A116" s="164"/>
      <c r="E116" s="148"/>
      <c r="G116" s="148"/>
      <c r="I116" s="148"/>
      <c r="K116" s="148"/>
      <c r="M116" s="148"/>
      <c r="O116" s="148"/>
      <c r="Q116" s="148"/>
      <c r="S116" s="148"/>
      <c r="U116" s="148"/>
      <c r="W116" s="148"/>
      <c r="Y116" s="148"/>
      <c r="AA116" s="148"/>
      <c r="AC116" s="148"/>
    </row>
    <row r="117" spans="1:30" ht="13.2" x14ac:dyDescent="0.25">
      <c r="A117" s="164"/>
      <c r="E117" s="141"/>
      <c r="G117" s="141"/>
      <c r="I117" s="141"/>
      <c r="K117" s="141"/>
      <c r="M117" s="141"/>
      <c r="O117" s="141"/>
      <c r="Q117" s="141"/>
      <c r="S117" s="141"/>
      <c r="U117" s="141"/>
      <c r="W117" s="141"/>
      <c r="Y117" s="141"/>
      <c r="AA117" s="141"/>
      <c r="AC117" s="141"/>
    </row>
    <row r="118" spans="1:30" ht="13.2" x14ac:dyDescent="0.25">
      <c r="A118" s="164"/>
      <c r="C118" s="135" t="s">
        <v>143</v>
      </c>
      <c r="D118" s="143"/>
      <c r="E118" s="144">
        <f>-E55-E62-E71-E102</f>
        <v>-8834.6160038884809</v>
      </c>
      <c r="F118" s="137">
        <f>E118/$E$25</f>
        <v>-0.81059703308485087</v>
      </c>
      <c r="G118" s="144">
        <f>-G55-G62-G71-G102</f>
        <v>-6937.3465551305335</v>
      </c>
      <c r="H118" s="137">
        <f>G118/$E$25</f>
        <v>-0.63651804816362512</v>
      </c>
      <c r="I118" s="144">
        <f>-I55-I62-I71-I102</f>
        <v>-6937.3465551305335</v>
      </c>
      <c r="J118" s="137">
        <f>I118/$E$25</f>
        <v>-0.63651804816362512</v>
      </c>
      <c r="K118" s="144">
        <f>-K55-K62-K71-K102</f>
        <v>-6837.3465551305335</v>
      </c>
      <c r="L118" s="137">
        <f>K118/$E$25</f>
        <v>-0.62734281029558336</v>
      </c>
      <c r="M118" s="144">
        <f>-M55-M62-M71-M102</f>
        <v>-6837.3465551305335</v>
      </c>
      <c r="N118" s="137">
        <f>M118/$E$25</f>
        <v>-0.62734281029558336</v>
      </c>
      <c r="O118" s="144">
        <f>-O55-O62-O71-O102</f>
        <v>-6837.3465551305335</v>
      </c>
      <c r="P118" s="137">
        <f>O118/$E$25</f>
        <v>-0.62734281029558336</v>
      </c>
      <c r="Q118" s="144">
        <f>-Q55-Q62-Q71-Q102</f>
        <v>-6837.3465551305335</v>
      </c>
      <c r="R118" s="137">
        <f>Q118/$E$25</f>
        <v>-0.62734281029558336</v>
      </c>
      <c r="S118" s="144">
        <f>-S55-S62-S71-S102</f>
        <v>-6837.3465551305335</v>
      </c>
      <c r="T118" s="137">
        <f>S118/$E$25</f>
        <v>-0.62734281029558336</v>
      </c>
      <c r="U118" s="144">
        <f>-U55-U62-U71-U102</f>
        <v>-6837.3465551305335</v>
      </c>
      <c r="V118" s="137">
        <f>U118/$E$25</f>
        <v>-0.62734281029558336</v>
      </c>
      <c r="W118" s="144">
        <f>-W55-W62-W71-W102</f>
        <v>-6937.3465551305335</v>
      </c>
      <c r="X118" s="137">
        <f>W118/$E$25</f>
        <v>-0.63651804816362512</v>
      </c>
      <c r="Y118" s="144">
        <f>-Y55-Y62-Y71-Y102</f>
        <v>-6937.3465551305335</v>
      </c>
      <c r="Z118" s="137">
        <f>Y118/$E$25</f>
        <v>-0.63651804816362512</v>
      </c>
      <c r="AA118" s="144">
        <f>-AA55-AA62-AA71-AA102</f>
        <v>-6937.3465551305335</v>
      </c>
      <c r="AB118" s="137">
        <f>AA118/$E$25</f>
        <v>-0.63651804816362512</v>
      </c>
      <c r="AC118" s="144">
        <f>-AC55-AC62-AC71-AC102</f>
        <v>-84545.428110324356</v>
      </c>
      <c r="AD118" s="137">
        <f>AC118/$E$25</f>
        <v>-7.7572441356764772</v>
      </c>
    </row>
    <row r="119" spans="1:30" ht="13.2" x14ac:dyDescent="0.25">
      <c r="A119" s="164"/>
      <c r="E119" s="141"/>
      <c r="G119" s="141"/>
      <c r="I119" s="141"/>
      <c r="K119" s="141"/>
      <c r="M119" s="141"/>
      <c r="O119" s="141"/>
      <c r="Q119" s="141"/>
      <c r="S119" s="141"/>
      <c r="U119" s="141"/>
      <c r="W119" s="141"/>
      <c r="Y119" s="141"/>
      <c r="AA119" s="141"/>
      <c r="AC119" s="141"/>
    </row>
    <row r="120" spans="1:30" ht="13.2" x14ac:dyDescent="0.25">
      <c r="A120" s="164"/>
      <c r="C120" s="135" t="s">
        <v>298</v>
      </c>
      <c r="D120" s="143"/>
      <c r="E120" s="144">
        <f>+E53+E118</f>
        <v>23.27567800826364</v>
      </c>
      <c r="F120" s="137">
        <f>E120/$E$25</f>
        <v>2.1355988226576662E-3</v>
      </c>
      <c r="G120" s="144">
        <f>+G53+G118</f>
        <v>1844.7841778552311</v>
      </c>
      <c r="H120" s="137">
        <f>G120/$E$25</f>
        <v>0.16926333647021544</v>
      </c>
      <c r="I120" s="144">
        <f>+I53+I118</f>
        <v>1844.7841778552311</v>
      </c>
      <c r="J120" s="137">
        <f>I120/$E$25</f>
        <v>0.16926333647021544</v>
      </c>
      <c r="K120" s="144">
        <f>+K53+K118</f>
        <v>1944.7841778552311</v>
      </c>
      <c r="L120" s="137">
        <f>K120/$E$25</f>
        <v>0.17843857433825719</v>
      </c>
      <c r="M120" s="144">
        <f>+M53+M118</f>
        <v>1944.7841778552311</v>
      </c>
      <c r="N120" s="137">
        <f>M120/$E$25</f>
        <v>0.17843857433825719</v>
      </c>
      <c r="O120" s="144">
        <f>+O53+O118</f>
        <v>1944.7841778552311</v>
      </c>
      <c r="P120" s="137">
        <f>O120/$E$25</f>
        <v>0.17843857433825719</v>
      </c>
      <c r="Q120" s="144">
        <f>+Q53+Q118</f>
        <v>1944.7841778552311</v>
      </c>
      <c r="R120" s="137">
        <f>Q120/$E$25</f>
        <v>0.17843857433825719</v>
      </c>
      <c r="S120" s="144">
        <f>+S53+S118</f>
        <v>1944.7841778552311</v>
      </c>
      <c r="T120" s="137">
        <f>S120/$E$25</f>
        <v>0.17843857433825719</v>
      </c>
      <c r="U120" s="144">
        <f>+U53+U118</f>
        <v>1944.7841778552311</v>
      </c>
      <c r="V120" s="137">
        <f>U120/$E$25</f>
        <v>0.17843857433825719</v>
      </c>
      <c r="W120" s="144">
        <f>+W53+W118</f>
        <v>1844.7841778552311</v>
      </c>
      <c r="X120" s="137">
        <f>W120/$E$25</f>
        <v>0.16926333647021544</v>
      </c>
      <c r="Y120" s="144">
        <f>+Y53+Y118</f>
        <v>1844.7841778552311</v>
      </c>
      <c r="Z120" s="137">
        <f>Y120/$E$25</f>
        <v>0.16926333647021544</v>
      </c>
      <c r="AA120" s="144">
        <f>+AA53+AA118</f>
        <v>1844.7841778552311</v>
      </c>
      <c r="AB120" s="137">
        <f>AA120/$E$25</f>
        <v>0.16926333647021544</v>
      </c>
      <c r="AC120" s="144">
        <f>+AC53+AC118</f>
        <v>20915.901634415801</v>
      </c>
      <c r="AD120" s="137">
        <f>AC120/$E$25</f>
        <v>1.9190837272032775</v>
      </c>
    </row>
    <row r="121" spans="1:30" ht="13.2" x14ac:dyDescent="0.25">
      <c r="A121" s="164"/>
      <c r="E121" s="141"/>
      <c r="G121" s="141"/>
      <c r="I121" s="141"/>
      <c r="K121" s="141"/>
      <c r="M121" s="141"/>
      <c r="O121" s="141"/>
      <c r="Q121" s="141"/>
      <c r="S121" s="141"/>
      <c r="U121" s="141"/>
      <c r="W121" s="141"/>
      <c r="Y121" s="141"/>
      <c r="AA121" s="141"/>
      <c r="AC121" s="141"/>
    </row>
    <row r="122" spans="1:30" ht="13.2" x14ac:dyDescent="0.25">
      <c r="A122" s="164"/>
      <c r="B122" s="123"/>
      <c r="C122" s="124" t="s">
        <v>299</v>
      </c>
      <c r="D122" s="137"/>
      <c r="E122" s="140">
        <f>SUM(E123:E125)</f>
        <v>466.67</v>
      </c>
      <c r="F122" s="129"/>
      <c r="G122" s="140">
        <f>SUM(G123:G125)</f>
        <v>458.21</v>
      </c>
      <c r="H122" s="129"/>
      <c r="I122" s="140">
        <f>SUM(I123:I125)</f>
        <v>449.71</v>
      </c>
      <c r="J122" s="129"/>
      <c r="K122" s="140">
        <f>SUM(K123:K125)</f>
        <v>441.16</v>
      </c>
      <c r="L122" s="129"/>
      <c r="M122" s="140">
        <f>SUM(M123:M125)</f>
        <v>432.56</v>
      </c>
      <c r="N122" s="129"/>
      <c r="O122" s="140">
        <f>SUM(O123:O125)</f>
        <v>423.91</v>
      </c>
      <c r="P122" s="129"/>
      <c r="Q122" s="140">
        <f>SUM(Q123:Q125)</f>
        <v>415.21</v>
      </c>
      <c r="R122" s="129"/>
      <c r="S122" s="140">
        <f>SUM(S123:S125)</f>
        <v>406.45</v>
      </c>
      <c r="T122" s="129"/>
      <c r="U122" s="140">
        <f>SUM(U123:U125)</f>
        <v>397.65</v>
      </c>
      <c r="V122" s="129"/>
      <c r="W122" s="140">
        <f>SUM(W123:W125)</f>
        <v>388.79</v>
      </c>
      <c r="X122" s="129"/>
      <c r="Y122" s="140">
        <f>SUM(Y123:Y125)</f>
        <v>379.89</v>
      </c>
      <c r="Z122" s="129"/>
      <c r="AA122" s="140">
        <f>SUM(AA123:AA125)</f>
        <v>370.93</v>
      </c>
      <c r="AB122" s="129"/>
      <c r="AC122" s="140">
        <f>SUM(AC123:AC125)</f>
        <v>5031.1400000000003</v>
      </c>
      <c r="AD122" s="129"/>
    </row>
    <row r="123" spans="1:30" ht="13.2" x14ac:dyDescent="0.25">
      <c r="A123" s="164"/>
      <c r="B123" s="164" t="s">
        <v>300</v>
      </c>
      <c r="C123" s="164" t="s">
        <v>382</v>
      </c>
      <c r="D123" s="146"/>
      <c r="E123" s="157">
        <f>+'COST DATA'!H72</f>
        <v>466.67</v>
      </c>
      <c r="F123" s="129"/>
      <c r="G123" s="157">
        <f>+'COST DATA'!H73</f>
        <v>458.21</v>
      </c>
      <c r="H123" s="129"/>
      <c r="I123" s="157">
        <f>+'COST DATA'!H74</f>
        <v>449.71</v>
      </c>
      <c r="J123" s="129"/>
      <c r="K123" s="157">
        <f>+'COST DATA'!H75</f>
        <v>441.16</v>
      </c>
      <c r="L123" s="129"/>
      <c r="M123" s="157">
        <f>+'COST DATA'!H76</f>
        <v>432.56</v>
      </c>
      <c r="N123" s="129"/>
      <c r="O123" s="157">
        <f>+'COST DATA'!H77</f>
        <v>423.91</v>
      </c>
      <c r="P123" s="129"/>
      <c r="Q123" s="157">
        <f>+'COST DATA'!H78</f>
        <v>415.21</v>
      </c>
      <c r="R123" s="129"/>
      <c r="S123" s="157">
        <f>+'COST DATA'!H79</f>
        <v>406.45</v>
      </c>
      <c r="T123" s="129"/>
      <c r="U123" s="157">
        <f>+'COST DATA'!H80</f>
        <v>397.65</v>
      </c>
      <c r="V123" s="129"/>
      <c r="W123" s="157">
        <f>+'COST DATA'!H81</f>
        <v>388.79</v>
      </c>
      <c r="X123" s="129"/>
      <c r="Y123" s="157">
        <f>+'COST DATA'!H82</f>
        <v>379.89</v>
      </c>
      <c r="Z123" s="129"/>
      <c r="AA123" s="157">
        <f>+'COST DATA'!H83</f>
        <v>370.93</v>
      </c>
      <c r="AB123" s="129"/>
      <c r="AC123" s="157">
        <f t="shared" ref="AC123:AC125" si="8">+E123+G123+I123+K123+M123+O123+Q123+S123+U123+W123+Y123+AA123</f>
        <v>5031.1400000000003</v>
      </c>
      <c r="AD123" s="129"/>
    </row>
    <row r="124" spans="1:30" ht="13.2" hidden="1" outlineLevel="1" x14ac:dyDescent="0.25">
      <c r="A124" s="164"/>
      <c r="B124" s="120" t="s">
        <v>383</v>
      </c>
      <c r="C124" s="120" t="s">
        <v>301</v>
      </c>
      <c r="E124" s="147"/>
      <c r="F124" s="129"/>
      <c r="G124" s="147"/>
      <c r="H124" s="129"/>
      <c r="I124" s="147"/>
      <c r="J124" s="129"/>
      <c r="K124" s="147"/>
      <c r="L124" s="129"/>
      <c r="M124" s="147"/>
      <c r="N124" s="129"/>
      <c r="O124" s="147"/>
      <c r="P124" s="129"/>
      <c r="Q124" s="147"/>
      <c r="R124" s="129"/>
      <c r="S124" s="147"/>
      <c r="T124" s="129"/>
      <c r="U124" s="147"/>
      <c r="V124" s="129"/>
      <c r="W124" s="147"/>
      <c r="X124" s="129"/>
      <c r="Y124" s="147"/>
      <c r="Z124" s="129"/>
      <c r="AA124" s="147"/>
      <c r="AB124" s="129"/>
      <c r="AC124" s="147">
        <f t="shared" si="8"/>
        <v>0</v>
      </c>
      <c r="AD124" s="129"/>
    </row>
    <row r="125" spans="1:30" ht="13.2" hidden="1" outlineLevel="1" x14ac:dyDescent="0.25">
      <c r="A125" s="164"/>
      <c r="B125" s="120" t="s">
        <v>384</v>
      </c>
      <c r="C125" s="120" t="s">
        <v>302</v>
      </c>
      <c r="E125" s="147"/>
      <c r="F125" s="129"/>
      <c r="G125" s="147"/>
      <c r="H125" s="129"/>
      <c r="I125" s="147"/>
      <c r="J125" s="129"/>
      <c r="K125" s="147"/>
      <c r="L125" s="129"/>
      <c r="M125" s="147"/>
      <c r="N125" s="129"/>
      <c r="O125" s="147"/>
      <c r="P125" s="129"/>
      <c r="Q125" s="147"/>
      <c r="R125" s="129"/>
      <c r="S125" s="147"/>
      <c r="T125" s="129"/>
      <c r="U125" s="147"/>
      <c r="V125" s="129"/>
      <c r="W125" s="147"/>
      <c r="X125" s="129"/>
      <c r="Y125" s="147"/>
      <c r="Z125" s="129"/>
      <c r="AA125" s="147"/>
      <c r="AB125" s="129"/>
      <c r="AC125" s="147">
        <f t="shared" si="8"/>
        <v>0</v>
      </c>
      <c r="AD125" s="129"/>
    </row>
    <row r="126" spans="1:30" ht="13.2" hidden="1" outlineLevel="1" collapsed="1" x14ac:dyDescent="0.25">
      <c r="A126" s="164"/>
      <c r="C126" s="124" t="s">
        <v>303</v>
      </c>
      <c r="E126" s="140">
        <f>+E127</f>
        <v>0</v>
      </c>
      <c r="F126" s="129"/>
      <c r="G126" s="140">
        <f>+G127</f>
        <v>0</v>
      </c>
      <c r="H126" s="129"/>
      <c r="I126" s="140">
        <f>+I127</f>
        <v>0</v>
      </c>
      <c r="J126" s="129"/>
      <c r="K126" s="140">
        <f>+K127</f>
        <v>0</v>
      </c>
      <c r="L126" s="129"/>
      <c r="M126" s="140">
        <f>+M127</f>
        <v>0</v>
      </c>
      <c r="N126" s="129"/>
      <c r="O126" s="140">
        <f>+O127</f>
        <v>0</v>
      </c>
      <c r="P126" s="129"/>
      <c r="Q126" s="140">
        <f>+Q127</f>
        <v>0</v>
      </c>
      <c r="R126" s="129"/>
      <c r="S126" s="140">
        <f>+S127</f>
        <v>0</v>
      </c>
      <c r="T126" s="129"/>
      <c r="U126" s="140">
        <f>+U127</f>
        <v>0</v>
      </c>
      <c r="V126" s="129"/>
      <c r="W126" s="140">
        <f>+W127</f>
        <v>0</v>
      </c>
      <c r="X126" s="129"/>
      <c r="Y126" s="140">
        <f>+Y127</f>
        <v>0</v>
      </c>
      <c r="Z126" s="129"/>
      <c r="AA126" s="140">
        <f>+AA127</f>
        <v>0</v>
      </c>
      <c r="AB126" s="129"/>
      <c r="AC126" s="140">
        <f>+AC127</f>
        <v>0</v>
      </c>
      <c r="AD126" s="129"/>
    </row>
    <row r="127" spans="1:30" ht="13.2" hidden="1" outlineLevel="1" x14ac:dyDescent="0.25">
      <c r="A127" s="164"/>
      <c r="B127" s="120" t="s">
        <v>304</v>
      </c>
      <c r="C127" s="120" t="s">
        <v>305</v>
      </c>
      <c r="E127" s="147"/>
      <c r="F127" s="129"/>
      <c r="G127" s="147"/>
      <c r="H127" s="129"/>
      <c r="I127" s="147"/>
      <c r="J127" s="129"/>
      <c r="K127" s="147"/>
      <c r="L127" s="129"/>
      <c r="M127" s="147"/>
      <c r="N127" s="129"/>
      <c r="O127" s="147"/>
      <c r="P127" s="129"/>
      <c r="Q127" s="147"/>
      <c r="R127" s="129"/>
      <c r="S127" s="147"/>
      <c r="T127" s="129"/>
      <c r="U127" s="147"/>
      <c r="V127" s="129"/>
      <c r="W127" s="147"/>
      <c r="X127" s="129"/>
      <c r="Y127" s="147"/>
      <c r="Z127" s="129"/>
      <c r="AA127" s="147"/>
      <c r="AB127" s="129"/>
      <c r="AC127" s="147">
        <f t="shared" ref="AC127" si="9">+E127+G127+I127+K127+M127+O127+Q127+S127+U127+W127+Y127+AA127</f>
        <v>0</v>
      </c>
      <c r="AD127" s="129"/>
    </row>
    <row r="128" spans="1:30" ht="13.2" hidden="1" outlineLevel="1" x14ac:dyDescent="0.25">
      <c r="A128" s="164"/>
      <c r="B128" s="123"/>
      <c r="C128" s="124" t="s">
        <v>306</v>
      </c>
      <c r="D128" s="137"/>
      <c r="E128" s="140">
        <f>SUM(E129:E134)</f>
        <v>0</v>
      </c>
      <c r="F128" s="129"/>
      <c r="G128" s="140">
        <f>SUM(G129:G134)</f>
        <v>0</v>
      </c>
      <c r="H128" s="129"/>
      <c r="I128" s="140">
        <f>SUM(I129:I134)</f>
        <v>0</v>
      </c>
      <c r="J128" s="129"/>
      <c r="K128" s="140">
        <f>SUM(K129:K134)</f>
        <v>0</v>
      </c>
      <c r="L128" s="129"/>
      <c r="M128" s="140">
        <f>SUM(M129:M134)</f>
        <v>0</v>
      </c>
      <c r="N128" s="129"/>
      <c r="O128" s="140">
        <f>SUM(O129:O134)</f>
        <v>0</v>
      </c>
      <c r="P128" s="129"/>
      <c r="Q128" s="140">
        <f>SUM(Q129:Q134)</f>
        <v>0</v>
      </c>
      <c r="R128" s="129"/>
      <c r="S128" s="140">
        <f>SUM(S129:S134)</f>
        <v>0</v>
      </c>
      <c r="T128" s="129"/>
      <c r="U128" s="140">
        <f>SUM(U129:U134)</f>
        <v>0</v>
      </c>
      <c r="V128" s="129"/>
      <c r="W128" s="140">
        <f>SUM(W129:W134)</f>
        <v>0</v>
      </c>
      <c r="X128" s="129"/>
      <c r="Y128" s="140">
        <f>SUM(Y129:Y134)</f>
        <v>0</v>
      </c>
      <c r="Z128" s="129"/>
      <c r="AA128" s="140">
        <f>SUM(AA129:AA134)</f>
        <v>0</v>
      </c>
      <c r="AB128" s="129"/>
      <c r="AC128" s="140">
        <f>SUM(AC129:AC134)</f>
        <v>0</v>
      </c>
      <c r="AD128" s="129"/>
    </row>
    <row r="129" spans="1:30" ht="13.2" hidden="1" outlineLevel="1" x14ac:dyDescent="0.25">
      <c r="A129" s="164"/>
      <c r="B129" s="130" t="s">
        <v>385</v>
      </c>
      <c r="C129" s="120" t="s">
        <v>308</v>
      </c>
      <c r="E129" s="147"/>
      <c r="F129" s="129"/>
      <c r="G129" s="147"/>
      <c r="H129" s="129"/>
      <c r="I129" s="147"/>
      <c r="J129" s="129"/>
      <c r="K129" s="147"/>
      <c r="L129" s="129"/>
      <c r="M129" s="147"/>
      <c r="N129" s="129"/>
      <c r="O129" s="147"/>
      <c r="P129" s="129"/>
      <c r="Q129" s="147"/>
      <c r="R129" s="129"/>
      <c r="S129" s="147"/>
      <c r="T129" s="129"/>
      <c r="U129" s="147"/>
      <c r="V129" s="129"/>
      <c r="W129" s="147"/>
      <c r="X129" s="129"/>
      <c r="Y129" s="147"/>
      <c r="Z129" s="129"/>
      <c r="AA129" s="147"/>
      <c r="AB129" s="129"/>
      <c r="AC129" s="147">
        <f t="shared" ref="AC129:AC134" si="10">+E129+G129+I129+K129+M129+O129+Q129+S129+U129+W129+Y129+AA129</f>
        <v>0</v>
      </c>
      <c r="AD129" s="129"/>
    </row>
    <row r="130" spans="1:30" ht="13.2" hidden="1" outlineLevel="1" x14ac:dyDescent="0.25">
      <c r="A130" s="164"/>
      <c r="B130" s="130" t="s">
        <v>307</v>
      </c>
      <c r="C130" s="120" t="s">
        <v>310</v>
      </c>
      <c r="E130" s="147"/>
      <c r="F130" s="129"/>
      <c r="G130" s="147"/>
      <c r="H130" s="129"/>
      <c r="I130" s="147"/>
      <c r="J130" s="129"/>
      <c r="K130" s="147"/>
      <c r="L130" s="129"/>
      <c r="M130" s="147"/>
      <c r="N130" s="129"/>
      <c r="O130" s="147"/>
      <c r="P130" s="129"/>
      <c r="Q130" s="147"/>
      <c r="R130" s="129"/>
      <c r="S130" s="147"/>
      <c r="T130" s="129"/>
      <c r="U130" s="147"/>
      <c r="V130" s="129"/>
      <c r="W130" s="147"/>
      <c r="X130" s="129"/>
      <c r="Y130" s="147"/>
      <c r="Z130" s="129"/>
      <c r="AA130" s="147"/>
      <c r="AB130" s="129"/>
      <c r="AC130" s="147">
        <f t="shared" si="10"/>
        <v>0</v>
      </c>
      <c r="AD130" s="129"/>
    </row>
    <row r="131" spans="1:30" ht="13.2" hidden="1" outlineLevel="1" x14ac:dyDescent="0.25">
      <c r="A131" s="164"/>
      <c r="B131" s="130" t="s">
        <v>309</v>
      </c>
      <c r="C131" s="120" t="s">
        <v>312</v>
      </c>
      <c r="E131" s="147"/>
      <c r="F131" s="129"/>
      <c r="G131" s="147"/>
      <c r="H131" s="129"/>
      <c r="I131" s="147"/>
      <c r="J131" s="129"/>
      <c r="K131" s="147"/>
      <c r="L131" s="129"/>
      <c r="M131" s="147"/>
      <c r="N131" s="129"/>
      <c r="O131" s="147"/>
      <c r="P131" s="129"/>
      <c r="Q131" s="147"/>
      <c r="R131" s="129"/>
      <c r="S131" s="147"/>
      <c r="T131" s="129"/>
      <c r="U131" s="147"/>
      <c r="V131" s="129"/>
      <c r="W131" s="147"/>
      <c r="X131" s="129"/>
      <c r="Y131" s="147"/>
      <c r="Z131" s="129"/>
      <c r="AA131" s="147"/>
      <c r="AB131" s="129"/>
      <c r="AC131" s="147">
        <f t="shared" si="10"/>
        <v>0</v>
      </c>
      <c r="AD131" s="129"/>
    </row>
    <row r="132" spans="1:30" ht="13.2" hidden="1" outlineLevel="1" x14ac:dyDescent="0.25">
      <c r="A132" s="164"/>
      <c r="B132" s="130" t="s">
        <v>386</v>
      </c>
      <c r="C132" s="120" t="s">
        <v>313</v>
      </c>
      <c r="E132" s="147"/>
      <c r="F132" s="129"/>
      <c r="G132" s="147"/>
      <c r="H132" s="129"/>
      <c r="I132" s="147"/>
      <c r="J132" s="129"/>
      <c r="K132" s="147"/>
      <c r="L132" s="129"/>
      <c r="M132" s="147"/>
      <c r="N132" s="129"/>
      <c r="O132" s="147"/>
      <c r="P132" s="129"/>
      <c r="Q132" s="147"/>
      <c r="R132" s="129"/>
      <c r="S132" s="147"/>
      <c r="T132" s="129"/>
      <c r="U132" s="147"/>
      <c r="V132" s="129"/>
      <c r="W132" s="147"/>
      <c r="X132" s="129"/>
      <c r="Y132" s="147"/>
      <c r="Z132" s="129"/>
      <c r="AA132" s="147"/>
      <c r="AB132" s="129"/>
      <c r="AC132" s="147">
        <f t="shared" si="10"/>
        <v>0</v>
      </c>
      <c r="AD132" s="129"/>
    </row>
    <row r="133" spans="1:30" ht="13.2" hidden="1" outlineLevel="1" x14ac:dyDescent="0.25">
      <c r="A133" s="164"/>
      <c r="B133" s="130" t="s">
        <v>387</v>
      </c>
      <c r="C133" s="120" t="s">
        <v>314</v>
      </c>
      <c r="E133" s="147"/>
      <c r="F133" s="129"/>
      <c r="G133" s="147"/>
      <c r="H133" s="129"/>
      <c r="I133" s="147"/>
      <c r="J133" s="129"/>
      <c r="K133" s="147"/>
      <c r="L133" s="129"/>
      <c r="M133" s="147"/>
      <c r="N133" s="129"/>
      <c r="O133" s="147"/>
      <c r="P133" s="129"/>
      <c r="Q133" s="147"/>
      <c r="R133" s="129"/>
      <c r="S133" s="147"/>
      <c r="T133" s="129"/>
      <c r="U133" s="147"/>
      <c r="V133" s="129"/>
      <c r="W133" s="147"/>
      <c r="X133" s="129"/>
      <c r="Y133" s="147"/>
      <c r="Z133" s="129"/>
      <c r="AA133" s="147"/>
      <c r="AB133" s="129"/>
      <c r="AC133" s="147">
        <f t="shared" si="10"/>
        <v>0</v>
      </c>
      <c r="AD133" s="129"/>
    </row>
    <row r="134" spans="1:30" ht="13.2" hidden="1" outlineLevel="1" x14ac:dyDescent="0.25">
      <c r="A134" s="164"/>
      <c r="B134" s="130" t="s">
        <v>388</v>
      </c>
      <c r="C134" s="120" t="s">
        <v>315</v>
      </c>
      <c r="E134" s="147"/>
      <c r="F134" s="129"/>
      <c r="G134" s="147"/>
      <c r="H134" s="129"/>
      <c r="I134" s="147"/>
      <c r="J134" s="129"/>
      <c r="K134" s="147"/>
      <c r="L134" s="129"/>
      <c r="M134" s="147"/>
      <c r="N134" s="129"/>
      <c r="O134" s="147"/>
      <c r="P134" s="129"/>
      <c r="Q134" s="147"/>
      <c r="R134" s="129"/>
      <c r="S134" s="147"/>
      <c r="T134" s="129"/>
      <c r="U134" s="147"/>
      <c r="V134" s="129"/>
      <c r="W134" s="147"/>
      <c r="X134" s="129"/>
      <c r="Y134" s="147"/>
      <c r="Z134" s="129"/>
      <c r="AA134" s="147"/>
      <c r="AB134" s="129"/>
      <c r="AC134" s="147">
        <f t="shared" si="10"/>
        <v>0</v>
      </c>
      <c r="AD134" s="129"/>
    </row>
    <row r="135" spans="1:30" ht="13.2" hidden="1" outlineLevel="1" x14ac:dyDescent="0.25">
      <c r="A135" s="164"/>
      <c r="B135" s="123"/>
      <c r="C135" s="124" t="s">
        <v>316</v>
      </c>
      <c r="E135" s="138">
        <f>+E136</f>
        <v>0</v>
      </c>
      <c r="F135" s="129"/>
      <c r="G135" s="138">
        <f>+G136</f>
        <v>0</v>
      </c>
      <c r="H135" s="129"/>
      <c r="I135" s="138">
        <f>+I136</f>
        <v>0</v>
      </c>
      <c r="J135" s="129"/>
      <c r="K135" s="138">
        <f>+K136</f>
        <v>0</v>
      </c>
      <c r="L135" s="129"/>
      <c r="M135" s="138">
        <f>+M136</f>
        <v>0</v>
      </c>
      <c r="N135" s="129"/>
      <c r="O135" s="138">
        <f>+O136</f>
        <v>0</v>
      </c>
      <c r="P135" s="129"/>
      <c r="Q135" s="138">
        <f>+Q136</f>
        <v>0</v>
      </c>
      <c r="R135" s="129"/>
      <c r="S135" s="138">
        <f>+S136</f>
        <v>0</v>
      </c>
      <c r="T135" s="129"/>
      <c r="U135" s="138">
        <f>+U136</f>
        <v>0</v>
      </c>
      <c r="V135" s="129"/>
      <c r="W135" s="138">
        <f>+W136</f>
        <v>0</v>
      </c>
      <c r="X135" s="129"/>
      <c r="Y135" s="138">
        <f>+Y136</f>
        <v>0</v>
      </c>
      <c r="Z135" s="129"/>
      <c r="AA135" s="138">
        <f>+AA136</f>
        <v>0</v>
      </c>
      <c r="AB135" s="129"/>
      <c r="AC135" s="138">
        <f>+AC136</f>
        <v>0</v>
      </c>
      <c r="AD135" s="129"/>
    </row>
    <row r="136" spans="1:30" ht="13.2" hidden="1" outlineLevel="1" x14ac:dyDescent="0.25">
      <c r="A136" s="164"/>
      <c r="B136" s="120" t="s">
        <v>317</v>
      </c>
      <c r="C136" s="120" t="s">
        <v>318</v>
      </c>
      <c r="E136" s="147">
        <v>0</v>
      </c>
      <c r="F136" s="129"/>
      <c r="G136" s="147">
        <v>0</v>
      </c>
      <c r="H136" s="129"/>
      <c r="I136" s="147">
        <v>0</v>
      </c>
      <c r="J136" s="129"/>
      <c r="K136" s="147">
        <v>0</v>
      </c>
      <c r="L136" s="129"/>
      <c r="M136" s="147">
        <v>0</v>
      </c>
      <c r="N136" s="129"/>
      <c r="O136" s="147">
        <v>0</v>
      </c>
      <c r="P136" s="129"/>
      <c r="Q136" s="147">
        <v>0</v>
      </c>
      <c r="R136" s="129"/>
      <c r="S136" s="147">
        <v>0</v>
      </c>
      <c r="T136" s="129"/>
      <c r="U136" s="147">
        <v>0</v>
      </c>
      <c r="V136" s="129"/>
      <c r="W136" s="147">
        <v>0</v>
      </c>
      <c r="X136" s="129"/>
      <c r="Y136" s="147">
        <v>0</v>
      </c>
      <c r="Z136" s="129"/>
      <c r="AA136" s="147">
        <v>0</v>
      </c>
      <c r="AB136" s="129"/>
      <c r="AC136" s="147">
        <v>0</v>
      </c>
      <c r="AD136" s="129"/>
    </row>
    <row r="137" spans="1:30" ht="13.2" hidden="1" outlineLevel="1" x14ac:dyDescent="0.25">
      <c r="A137" s="164"/>
      <c r="B137" s="123"/>
      <c r="C137" s="124" t="s">
        <v>319</v>
      </c>
      <c r="E137" s="138">
        <f>+E139+E140+E138</f>
        <v>0</v>
      </c>
      <c r="F137" s="129"/>
      <c r="G137" s="138">
        <f>+G139+G140+G138</f>
        <v>0</v>
      </c>
      <c r="H137" s="129"/>
      <c r="I137" s="138">
        <f>+I139+I140+I138</f>
        <v>0</v>
      </c>
      <c r="J137" s="129"/>
      <c r="K137" s="138">
        <f>+K139+K140+K138</f>
        <v>0</v>
      </c>
      <c r="L137" s="129"/>
      <c r="M137" s="138">
        <f>+M139+M140+M138</f>
        <v>0</v>
      </c>
      <c r="N137" s="129"/>
      <c r="O137" s="138">
        <f>+O139+O140+O138</f>
        <v>0</v>
      </c>
      <c r="P137" s="129"/>
      <c r="Q137" s="138">
        <f>+Q139+Q140+Q138</f>
        <v>0</v>
      </c>
      <c r="R137" s="129"/>
      <c r="S137" s="138">
        <f>+S139+S140+S138</f>
        <v>0</v>
      </c>
      <c r="T137" s="129"/>
      <c r="U137" s="138">
        <f>+U139+U140+U138</f>
        <v>0</v>
      </c>
      <c r="V137" s="129"/>
      <c r="W137" s="138">
        <f>+W139+W140+W138</f>
        <v>0</v>
      </c>
      <c r="X137" s="129"/>
      <c r="Y137" s="138">
        <f>+Y139+Y140+Y138</f>
        <v>0</v>
      </c>
      <c r="Z137" s="129"/>
      <c r="AA137" s="138">
        <f>+AA139+AA140+AA138</f>
        <v>0</v>
      </c>
      <c r="AB137" s="129"/>
      <c r="AC137" s="138">
        <f>+AC139+AC140+AC138</f>
        <v>0</v>
      </c>
      <c r="AD137" s="129"/>
    </row>
    <row r="138" spans="1:30" ht="13.2" hidden="1" outlineLevel="1" x14ac:dyDescent="0.25">
      <c r="A138" s="164"/>
      <c r="B138" s="120" t="s">
        <v>320</v>
      </c>
      <c r="C138" s="120" t="s">
        <v>321</v>
      </c>
      <c r="E138" s="138"/>
      <c r="F138" s="129"/>
      <c r="G138" s="138"/>
      <c r="H138" s="129"/>
      <c r="I138" s="138"/>
      <c r="J138" s="129"/>
      <c r="K138" s="138"/>
      <c r="L138" s="129"/>
      <c r="M138" s="138"/>
      <c r="N138" s="129"/>
      <c r="O138" s="138"/>
      <c r="P138" s="129"/>
      <c r="Q138" s="138"/>
      <c r="R138" s="129"/>
      <c r="S138" s="138"/>
      <c r="T138" s="129"/>
      <c r="U138" s="138"/>
      <c r="V138" s="129"/>
      <c r="W138" s="138"/>
      <c r="X138" s="129"/>
      <c r="Y138" s="138"/>
      <c r="Z138" s="129"/>
      <c r="AA138" s="138"/>
      <c r="AB138" s="129"/>
      <c r="AC138" s="138">
        <f t="shared" ref="AC138:AC141" si="11">+E138+G138+I138+K138+M138+O138+Q138+S138+U138+W138+Y138+AA138</f>
        <v>0</v>
      </c>
      <c r="AD138" s="129"/>
    </row>
    <row r="139" spans="1:30" ht="13.2" hidden="1" outlineLevel="1" x14ac:dyDescent="0.25">
      <c r="A139" s="164"/>
      <c r="B139" s="120" t="s">
        <v>389</v>
      </c>
      <c r="C139" s="120" t="s">
        <v>323</v>
      </c>
      <c r="E139" s="138"/>
      <c r="F139" s="129"/>
      <c r="G139" s="138"/>
      <c r="H139" s="129"/>
      <c r="I139" s="138"/>
      <c r="J139" s="129"/>
      <c r="K139" s="138"/>
      <c r="L139" s="129"/>
      <c r="M139" s="138"/>
      <c r="N139" s="129"/>
      <c r="O139" s="138"/>
      <c r="P139" s="129"/>
      <c r="Q139" s="138"/>
      <c r="R139" s="129"/>
      <c r="S139" s="138"/>
      <c r="T139" s="129"/>
      <c r="U139" s="138"/>
      <c r="V139" s="129"/>
      <c r="W139" s="138"/>
      <c r="X139" s="129"/>
      <c r="Y139" s="138"/>
      <c r="Z139" s="129"/>
      <c r="AA139" s="138"/>
      <c r="AB139" s="129"/>
      <c r="AC139" s="138">
        <f t="shared" si="11"/>
        <v>0</v>
      </c>
      <c r="AD139" s="129"/>
    </row>
    <row r="140" spans="1:30" ht="13.2" hidden="1" outlineLevel="1" x14ac:dyDescent="0.25">
      <c r="A140" s="164"/>
      <c r="B140" s="120" t="s">
        <v>390</v>
      </c>
      <c r="C140" s="120" t="s">
        <v>324</v>
      </c>
      <c r="E140" s="138"/>
      <c r="F140" s="129"/>
      <c r="G140" s="138"/>
      <c r="H140" s="129"/>
      <c r="I140" s="138"/>
      <c r="J140" s="129"/>
      <c r="K140" s="138"/>
      <c r="L140" s="129"/>
      <c r="M140" s="138"/>
      <c r="N140" s="129"/>
      <c r="O140" s="138"/>
      <c r="P140" s="129"/>
      <c r="Q140" s="138"/>
      <c r="R140" s="129"/>
      <c r="S140" s="138"/>
      <c r="T140" s="129"/>
      <c r="U140" s="138"/>
      <c r="V140" s="129"/>
      <c r="W140" s="138"/>
      <c r="X140" s="129"/>
      <c r="Y140" s="138"/>
      <c r="Z140" s="129"/>
      <c r="AA140" s="138"/>
      <c r="AB140" s="129"/>
      <c r="AC140" s="138">
        <f t="shared" si="11"/>
        <v>0</v>
      </c>
      <c r="AD140" s="129"/>
    </row>
    <row r="141" spans="1:30" ht="13.2" hidden="1" outlineLevel="1" x14ac:dyDescent="0.25">
      <c r="A141" s="164"/>
      <c r="B141" s="120" t="s">
        <v>322</v>
      </c>
      <c r="C141" s="120" t="s">
        <v>325</v>
      </c>
      <c r="E141" s="138"/>
      <c r="F141" s="129"/>
      <c r="G141" s="138"/>
      <c r="H141" s="129"/>
      <c r="I141" s="138"/>
      <c r="J141" s="129"/>
      <c r="K141" s="138"/>
      <c r="L141" s="129"/>
      <c r="M141" s="138"/>
      <c r="N141" s="129"/>
      <c r="O141" s="138"/>
      <c r="P141" s="129"/>
      <c r="Q141" s="138"/>
      <c r="R141" s="129"/>
      <c r="S141" s="138"/>
      <c r="T141" s="129"/>
      <c r="U141" s="138"/>
      <c r="V141" s="129"/>
      <c r="W141" s="138"/>
      <c r="X141" s="129"/>
      <c r="Y141" s="138"/>
      <c r="Z141" s="129"/>
      <c r="AA141" s="138"/>
      <c r="AB141" s="129"/>
      <c r="AC141" s="138">
        <f t="shared" si="11"/>
        <v>0</v>
      </c>
      <c r="AD141" s="129"/>
    </row>
    <row r="142" spans="1:30" ht="13.2" collapsed="1" x14ac:dyDescent="0.25">
      <c r="A142" s="164"/>
      <c r="E142" s="141"/>
      <c r="G142" s="141"/>
      <c r="I142" s="141"/>
      <c r="K142" s="141"/>
      <c r="M142" s="141"/>
      <c r="O142" s="141"/>
      <c r="Q142" s="141"/>
      <c r="S142" s="141"/>
      <c r="U142" s="141"/>
      <c r="W142" s="141"/>
      <c r="Y142" s="141"/>
      <c r="AA142" s="141"/>
      <c r="AC142" s="141"/>
    </row>
    <row r="143" spans="1:30" ht="15.6" x14ac:dyDescent="0.3">
      <c r="A143" s="164"/>
      <c r="C143" s="149" t="s">
        <v>142</v>
      </c>
      <c r="D143" s="150"/>
      <c r="E143" s="144">
        <f>+E120-E122-E128-E135-E137-E126</f>
        <v>-443.39432199173638</v>
      </c>
      <c r="F143" s="150">
        <f>+E143/E25</f>
        <v>-4.0682483736132674E-2</v>
      </c>
      <c r="G143" s="144">
        <f>+G120-G122-G128-G135-G137-G126</f>
        <v>1386.574177855231</v>
      </c>
      <c r="H143" s="150">
        <f>+G143/G25</f>
        <v>0.12935787980625169</v>
      </c>
      <c r="I143" s="144">
        <f>+I120-I122-I128-I135-I137-I126</f>
        <v>1395.074177855231</v>
      </c>
      <c r="J143" s="150">
        <f>+I143/I25</f>
        <v>0.13015087162444197</v>
      </c>
      <c r="K143" s="144">
        <f>+K120-K122-K128-K135-K137-K126</f>
        <v>1503.624177855231</v>
      </c>
      <c r="L143" s="150">
        <f>+K143/K25</f>
        <v>0.14027784360850751</v>
      </c>
      <c r="M143" s="144">
        <f>+M120-M122-M128-M135-M137-M126</f>
        <v>1512.2241778552311</v>
      </c>
      <c r="N143" s="150">
        <f>+M143/M25</f>
        <v>0.14108016474220594</v>
      </c>
      <c r="O143" s="144">
        <f>+O120-O122-O128-O135-O137-O126</f>
        <v>1520.874177855231</v>
      </c>
      <c r="P143" s="150">
        <f>+O143/O25</f>
        <v>0.14188715053365841</v>
      </c>
      <c r="Q143" s="144">
        <f>+Q120-Q122-Q128-Q135-Q137-Q126</f>
        <v>1529.574177855231</v>
      </c>
      <c r="R143" s="150">
        <f>+Q143/Q25</f>
        <v>0.14269880098286494</v>
      </c>
      <c r="S143" s="144">
        <f>+S120-S122-S128-S135-S137-S126</f>
        <v>1538.334177855231</v>
      </c>
      <c r="T143" s="150">
        <f>+S143/S25</f>
        <v>0.14351604902137635</v>
      </c>
      <c r="U143" s="144">
        <f>+U120-U122-U128-U135-U137-U126</f>
        <v>1547.134177855231</v>
      </c>
      <c r="V143" s="150">
        <f>+U143/U25</f>
        <v>0.14433702878609103</v>
      </c>
      <c r="W143" s="144">
        <f>+W120-W122-W128-W135-W137-W126</f>
        <v>1455.9941778552311</v>
      </c>
      <c r="X143" s="150">
        <f>+W143/W25</f>
        <v>0.1358342906319894</v>
      </c>
      <c r="Y143" s="144">
        <f>+Y120-Y122-Y128-Y135-Y137-Y126</f>
        <v>1464.8941778552312</v>
      </c>
      <c r="Z143" s="150">
        <f>+Y143/Y25</f>
        <v>0.1366645997122122</v>
      </c>
      <c r="AA143" s="144">
        <f>+AA120-AA122-AA128-AA135-AA137-AA126</f>
        <v>1473.854177855231</v>
      </c>
      <c r="AB143" s="150">
        <f>+AA143/AA25</f>
        <v>0.13750050638173983</v>
      </c>
      <c r="AC143" s="144">
        <f>+AC120-AC122-AC128-AC135-AC137-AC126</f>
        <v>15884.761634415801</v>
      </c>
      <c r="AD143" s="150">
        <f>+AC143/AC25</f>
        <v>0.12332238386805511</v>
      </c>
    </row>
    <row r="144" spans="1:30" ht="13.2" x14ac:dyDescent="0.25">
      <c r="A144" s="164"/>
      <c r="E144" s="141"/>
      <c r="G144" s="141"/>
      <c r="I144" s="141"/>
      <c r="K144" s="141"/>
      <c r="M144" s="141"/>
      <c r="O144" s="141"/>
      <c r="Q144" s="141"/>
      <c r="S144" s="141"/>
      <c r="U144" s="141"/>
      <c r="W144" s="141"/>
      <c r="Y144" s="141"/>
      <c r="AA144" s="141"/>
      <c r="AC144" s="141"/>
    </row>
    <row r="145" spans="1:29" x14ac:dyDescent="0.2">
      <c r="A145" s="164"/>
      <c r="C145" s="151" t="s">
        <v>326</v>
      </c>
      <c r="D145" s="177">
        <v>0.35</v>
      </c>
      <c r="E145" s="125"/>
      <c r="G145" s="125"/>
      <c r="I145" s="125"/>
      <c r="K145" s="125"/>
      <c r="M145" s="125"/>
      <c r="O145" s="125"/>
      <c r="Q145" s="125"/>
      <c r="S145" s="125"/>
      <c r="U145" s="125"/>
      <c r="W145" s="125"/>
      <c r="Y145" s="125"/>
      <c r="AA145" s="125"/>
      <c r="AC145" s="125">
        <f>IF(AC143&lt;0,0,AC143*D145)</f>
        <v>5559.6665720455303</v>
      </c>
    </row>
    <row r="146" spans="1:29" ht="13.2" hidden="1" outlineLevel="1" x14ac:dyDescent="0.25">
      <c r="A146" s="164"/>
      <c r="B146" s="120" t="s">
        <v>327</v>
      </c>
      <c r="C146" s="120" t="s">
        <v>328</v>
      </c>
      <c r="D146" s="152"/>
      <c r="E146" s="138"/>
      <c r="G146" s="138"/>
      <c r="I146" s="138"/>
      <c r="K146" s="138"/>
      <c r="M146" s="138"/>
      <c r="O146" s="138"/>
      <c r="Q146" s="138"/>
      <c r="S146" s="138"/>
      <c r="U146" s="138"/>
      <c r="W146" s="138"/>
      <c r="Y146" s="138"/>
      <c r="AA146" s="138"/>
      <c r="AC146" s="138">
        <f t="shared" ref="AC146:AC149" si="12">+E146+G146+I146+K146+M146+O146+Q146+S146+U146+W146+Y146+AA146</f>
        <v>0</v>
      </c>
    </row>
    <row r="147" spans="1:29" ht="13.2" hidden="1" outlineLevel="1" x14ac:dyDescent="0.25">
      <c r="A147" s="164"/>
      <c r="B147" s="120" t="s">
        <v>329</v>
      </c>
      <c r="C147" s="120" t="s">
        <v>330</v>
      </c>
      <c r="D147" s="152"/>
      <c r="E147" s="138"/>
      <c r="G147" s="138"/>
      <c r="I147" s="138"/>
      <c r="K147" s="138"/>
      <c r="M147" s="138"/>
      <c r="O147" s="138"/>
      <c r="Q147" s="138"/>
      <c r="S147" s="138"/>
      <c r="U147" s="138"/>
      <c r="W147" s="138"/>
      <c r="Y147" s="138"/>
      <c r="AA147" s="138"/>
      <c r="AC147" s="138">
        <f t="shared" si="12"/>
        <v>0</v>
      </c>
    </row>
    <row r="148" spans="1:29" ht="13.2" hidden="1" outlineLevel="1" x14ac:dyDescent="0.25">
      <c r="A148" s="164"/>
      <c r="B148" s="120" t="s">
        <v>311</v>
      </c>
      <c r="C148" s="120" t="s">
        <v>331</v>
      </c>
      <c r="D148" s="152"/>
      <c r="E148" s="138"/>
      <c r="G148" s="138"/>
      <c r="I148" s="138"/>
      <c r="K148" s="138"/>
      <c r="M148" s="138"/>
      <c r="O148" s="138"/>
      <c r="Q148" s="138"/>
      <c r="S148" s="138"/>
      <c r="U148" s="138"/>
      <c r="W148" s="138"/>
      <c r="Y148" s="138"/>
      <c r="AA148" s="138"/>
      <c r="AC148" s="138">
        <f t="shared" si="12"/>
        <v>0</v>
      </c>
    </row>
    <row r="149" spans="1:29" ht="13.2" hidden="1" outlineLevel="1" x14ac:dyDescent="0.25">
      <c r="A149" s="164"/>
      <c r="B149" s="120" t="s">
        <v>391</v>
      </c>
      <c r="C149" s="120" t="s">
        <v>332</v>
      </c>
      <c r="D149" s="152"/>
      <c r="E149" s="138"/>
      <c r="G149" s="138"/>
      <c r="I149" s="138"/>
      <c r="K149" s="138"/>
      <c r="M149" s="138"/>
      <c r="O149" s="138"/>
      <c r="Q149" s="138"/>
      <c r="S149" s="138"/>
      <c r="U149" s="138"/>
      <c r="W149" s="138"/>
      <c r="Y149" s="138"/>
      <c r="AA149" s="138"/>
      <c r="AC149" s="138">
        <f t="shared" si="12"/>
        <v>0</v>
      </c>
    </row>
    <row r="150" spans="1:29" ht="13.2" hidden="1" outlineLevel="1" collapsed="1" x14ac:dyDescent="0.25">
      <c r="A150" s="164"/>
      <c r="B150" s="123"/>
      <c r="C150" s="124" t="s">
        <v>333</v>
      </c>
      <c r="E150" s="140">
        <f>+E152+E151</f>
        <v>0</v>
      </c>
      <c r="G150" s="140">
        <f>+G152+G151</f>
        <v>0</v>
      </c>
      <c r="I150" s="140">
        <f>+I152+I151</f>
        <v>0</v>
      </c>
      <c r="K150" s="140">
        <f>+K152+K151</f>
        <v>0</v>
      </c>
      <c r="M150" s="140">
        <f>+M152+M151</f>
        <v>0</v>
      </c>
      <c r="O150" s="140">
        <f>+O152+O151</f>
        <v>0</v>
      </c>
      <c r="Q150" s="140">
        <f>+Q152+Q151</f>
        <v>0</v>
      </c>
      <c r="S150" s="140">
        <f>+S152+S151</f>
        <v>0</v>
      </c>
      <c r="U150" s="140">
        <f>+U152+U151</f>
        <v>0</v>
      </c>
      <c r="W150" s="140">
        <f>+W152+W151</f>
        <v>0</v>
      </c>
      <c r="Y150" s="140">
        <f>+Y152+Y151</f>
        <v>0</v>
      </c>
      <c r="AA150" s="140">
        <f>+AA152+AA151</f>
        <v>0</v>
      </c>
      <c r="AC150" s="140">
        <f>+AC152+AC151</f>
        <v>0</v>
      </c>
    </row>
    <row r="151" spans="1:29" ht="13.2" hidden="1" outlineLevel="1" x14ac:dyDescent="0.25">
      <c r="A151" s="164"/>
      <c r="B151" s="120" t="s">
        <v>334</v>
      </c>
      <c r="C151" s="120" t="s">
        <v>335</v>
      </c>
      <c r="E151" s="147"/>
      <c r="G151" s="147"/>
      <c r="I151" s="147"/>
      <c r="K151" s="147"/>
      <c r="M151" s="147"/>
      <c r="O151" s="147"/>
      <c r="Q151" s="147"/>
      <c r="S151" s="147"/>
      <c r="U151" s="147"/>
      <c r="W151" s="147"/>
      <c r="Y151" s="147"/>
      <c r="AA151" s="147"/>
      <c r="AC151" s="147">
        <f t="shared" ref="AC151:AC152" si="13">+E151+G151+I151+K151+M151+O151+Q151+S151+U151+W151+Y151+AA151</f>
        <v>0</v>
      </c>
    </row>
    <row r="152" spans="1:29" ht="13.2" hidden="1" outlineLevel="1" x14ac:dyDescent="0.25">
      <c r="A152" s="164"/>
      <c r="B152" s="120" t="s">
        <v>336</v>
      </c>
      <c r="C152" s="120" t="s">
        <v>337</v>
      </c>
      <c r="E152" s="147"/>
      <c r="G152" s="147"/>
      <c r="I152" s="147"/>
      <c r="K152" s="147"/>
      <c r="M152" s="147"/>
      <c r="O152" s="147"/>
      <c r="Q152" s="147"/>
      <c r="S152" s="147"/>
      <c r="U152" s="147"/>
      <c r="W152" s="147"/>
      <c r="Y152" s="147"/>
      <c r="AA152" s="147"/>
      <c r="AC152" s="147">
        <f t="shared" si="13"/>
        <v>0</v>
      </c>
    </row>
    <row r="153" spans="1:29" ht="13.2" hidden="1" outlineLevel="1" x14ac:dyDescent="0.25">
      <c r="A153" s="164"/>
      <c r="C153" s="124" t="s">
        <v>338</v>
      </c>
      <c r="E153" s="140">
        <f>+E154+E155</f>
        <v>0</v>
      </c>
      <c r="G153" s="140">
        <f>+G154+G155</f>
        <v>0</v>
      </c>
      <c r="I153" s="140">
        <f>+I154+I155</f>
        <v>0</v>
      </c>
      <c r="K153" s="140">
        <f>+K154+K155</f>
        <v>0</v>
      </c>
      <c r="M153" s="140">
        <f>+M154+M155</f>
        <v>0</v>
      </c>
      <c r="O153" s="140">
        <f>+O154+O155</f>
        <v>0</v>
      </c>
      <c r="Q153" s="140">
        <f>+Q154+Q155</f>
        <v>0</v>
      </c>
      <c r="S153" s="140">
        <f>+S154+S155</f>
        <v>0</v>
      </c>
      <c r="U153" s="140">
        <f>+U154+U155</f>
        <v>0</v>
      </c>
      <c r="W153" s="140">
        <f>+W154+W155</f>
        <v>0</v>
      </c>
      <c r="Y153" s="140">
        <f>+Y154+Y155</f>
        <v>0</v>
      </c>
      <c r="AA153" s="140">
        <f>+AA154+AA155</f>
        <v>0</v>
      </c>
      <c r="AC153" s="140">
        <f>+AC154+AC155</f>
        <v>0</v>
      </c>
    </row>
    <row r="154" spans="1:29" ht="13.2" hidden="1" outlineLevel="1" x14ac:dyDescent="0.25">
      <c r="A154" s="164"/>
      <c r="B154" s="130" t="s">
        <v>339</v>
      </c>
      <c r="C154" s="120" t="s">
        <v>340</v>
      </c>
      <c r="E154" s="138"/>
      <c r="G154" s="138"/>
      <c r="I154" s="138"/>
      <c r="K154" s="138"/>
      <c r="M154" s="138"/>
      <c r="O154" s="138"/>
      <c r="Q154" s="138"/>
      <c r="S154" s="138"/>
      <c r="U154" s="138"/>
      <c r="W154" s="138"/>
      <c r="Y154" s="138"/>
      <c r="AA154" s="138"/>
      <c r="AC154" s="138">
        <f t="shared" ref="AC154:AC155" si="14">+E154+G154+I154+K154+M154+O154+Q154+S154+U154+W154+Y154+AA154</f>
        <v>0</v>
      </c>
    </row>
    <row r="155" spans="1:29" ht="13.2" hidden="1" outlineLevel="1" x14ac:dyDescent="0.25">
      <c r="A155" s="164"/>
      <c r="B155" s="130" t="s">
        <v>341</v>
      </c>
      <c r="C155" s="120" t="s">
        <v>342</v>
      </c>
      <c r="E155" s="138"/>
      <c r="G155" s="138"/>
      <c r="I155" s="138"/>
      <c r="K155" s="138"/>
      <c r="M155" s="138"/>
      <c r="O155" s="138"/>
      <c r="Q155" s="138"/>
      <c r="S155" s="138"/>
      <c r="U155" s="138"/>
      <c r="W155" s="138"/>
      <c r="Y155" s="138"/>
      <c r="AA155" s="138"/>
      <c r="AC155" s="138">
        <f t="shared" si="14"/>
        <v>0</v>
      </c>
    </row>
    <row r="156" spans="1:29" ht="13.2" collapsed="1" x14ac:dyDescent="0.25">
      <c r="A156" s="164"/>
      <c r="E156" s="141"/>
      <c r="G156" s="141"/>
      <c r="I156" s="141"/>
      <c r="K156" s="141"/>
      <c r="M156" s="141"/>
      <c r="O156" s="141"/>
      <c r="Q156" s="141"/>
      <c r="S156" s="141"/>
      <c r="U156" s="141"/>
      <c r="W156" s="141"/>
      <c r="Y156" s="141"/>
      <c r="AA156" s="141"/>
      <c r="AC156" s="141"/>
    </row>
    <row r="157" spans="1:29" ht="13.2" x14ac:dyDescent="0.25">
      <c r="A157" s="164"/>
      <c r="C157" s="135" t="s">
        <v>343</v>
      </c>
      <c r="D157" s="143"/>
      <c r="E157" s="153">
        <f>+E143-E150-E153-E145</f>
        <v>-443.39432199173638</v>
      </c>
      <c r="G157" s="153">
        <f>+G143-G150-G153-G145</f>
        <v>1386.574177855231</v>
      </c>
      <c r="I157" s="153">
        <f>+I143-I150-I153-I145</f>
        <v>1395.074177855231</v>
      </c>
      <c r="K157" s="153">
        <f>+K143-K150-K153-K145</f>
        <v>1503.624177855231</v>
      </c>
      <c r="M157" s="153">
        <f>+M143-M150-M153-M145</f>
        <v>1512.2241778552311</v>
      </c>
      <c r="O157" s="153">
        <f>+O143-O150-O153-O145</f>
        <v>1520.874177855231</v>
      </c>
      <c r="Q157" s="153">
        <f>+Q143-Q150-Q153-Q145</f>
        <v>1529.574177855231</v>
      </c>
      <c r="S157" s="153">
        <f>+S143-S150-S153-S145</f>
        <v>1538.334177855231</v>
      </c>
      <c r="U157" s="153">
        <f>+U143-U150-U153-U145</f>
        <v>1547.134177855231</v>
      </c>
      <c r="W157" s="153">
        <f>+W143-W150-W153-W145</f>
        <v>1455.9941778552311</v>
      </c>
      <c r="Y157" s="153">
        <f>+Y143-Y150-Y153-Y145</f>
        <v>1464.8941778552312</v>
      </c>
      <c r="AA157" s="153">
        <f>+AA143-AA150-AA153-AA145</f>
        <v>1473.854177855231</v>
      </c>
      <c r="AC157" s="153">
        <f>+AC143-AC150-AC153-AC145</f>
        <v>10325.09506237027</v>
      </c>
    </row>
    <row r="158" spans="1:29" x14ac:dyDescent="0.2">
      <c r="E158" s="154" t="str">
        <f>IF(E157&lt;0,"PERDITA","UTILE")</f>
        <v>PERDITA</v>
      </c>
      <c r="G158" s="154" t="str">
        <f>IF(G157&lt;0,"PERDITA","UTILE")</f>
        <v>UTILE</v>
      </c>
      <c r="I158" s="154" t="str">
        <f>IF(I157&lt;0,"PERDITA","UTILE")</f>
        <v>UTILE</v>
      </c>
      <c r="K158" s="154" t="str">
        <f>IF(K157&lt;0,"PERDITA","UTILE")</f>
        <v>UTILE</v>
      </c>
      <c r="M158" s="154" t="str">
        <f>IF(M157&lt;0,"PERDITA","UTILE")</f>
        <v>UTILE</v>
      </c>
      <c r="O158" s="154" t="str">
        <f>IF(O157&lt;0,"PERDITA","UTILE")</f>
        <v>UTILE</v>
      </c>
      <c r="Q158" s="154" t="str">
        <f>IF(Q157&lt;0,"PERDITA","UTILE")</f>
        <v>UTILE</v>
      </c>
      <c r="S158" s="154" t="str">
        <f>IF(S157&lt;0,"PERDITA","UTILE")</f>
        <v>UTILE</v>
      </c>
      <c r="U158" s="154" t="str">
        <f>IF(U157&lt;0,"PERDITA","UTILE")</f>
        <v>UTILE</v>
      </c>
      <c r="W158" s="154" t="str">
        <f>IF(W157&lt;0,"PERDITA","UTILE")</f>
        <v>UTILE</v>
      </c>
      <c r="Y158" s="154" t="str">
        <f>IF(Y157&lt;0,"PERDITA","UTILE")</f>
        <v>UTILE</v>
      </c>
      <c r="AA158" s="154" t="str">
        <f>IF(AA157&lt;0,"PERDITA","UTILE")</f>
        <v>UTILE</v>
      </c>
      <c r="AC158" s="154" t="str">
        <f>IF(AC157&lt;0,"PERDITA","UTILE")</f>
        <v>UTILE</v>
      </c>
    </row>
    <row r="159" spans="1:29" x14ac:dyDescent="0.2">
      <c r="E159" s="155"/>
      <c r="G159" s="155"/>
      <c r="I159" s="155"/>
      <c r="K159" s="155"/>
      <c r="M159" s="155"/>
      <c r="O159" s="155"/>
      <c r="Q159" s="155"/>
      <c r="S159" s="155"/>
      <c r="U159" s="155"/>
      <c r="W159" s="155"/>
      <c r="Y159" s="155"/>
      <c r="AA159" s="155"/>
      <c r="AC159" s="155"/>
    </row>
    <row r="161" spans="5:29" x14ac:dyDescent="0.2">
      <c r="E161" s="155"/>
      <c r="G161" s="155"/>
      <c r="I161" s="155"/>
      <c r="K161" s="155"/>
      <c r="M161" s="155"/>
      <c r="O161" s="155"/>
      <c r="Q161" s="155"/>
      <c r="S161" s="155"/>
      <c r="U161" s="155"/>
      <c r="W161" s="155"/>
      <c r="Y161" s="155"/>
      <c r="AA161" s="155"/>
      <c r="AC161" s="155"/>
    </row>
    <row r="163" spans="5:29" x14ac:dyDescent="0.2">
      <c r="E163" s="155"/>
      <c r="G163" s="155"/>
      <c r="I163" s="155"/>
      <c r="K163" s="155"/>
      <c r="M163" s="155"/>
      <c r="O163" s="155"/>
      <c r="Q163" s="155"/>
      <c r="S163" s="155"/>
      <c r="U163" s="155"/>
      <c r="W163" s="155"/>
      <c r="Y163" s="155"/>
      <c r="AA163" s="155"/>
      <c r="AC163" s="155"/>
    </row>
    <row r="165" spans="5:29" x14ac:dyDescent="0.2">
      <c r="E165" s="155"/>
      <c r="G165" s="155"/>
      <c r="I165" s="155"/>
      <c r="K165" s="155"/>
      <c r="M165" s="155"/>
      <c r="O165" s="155"/>
      <c r="Q165" s="155"/>
      <c r="S165" s="155"/>
      <c r="U165" s="155"/>
      <c r="W165" s="155"/>
      <c r="Y165" s="155"/>
      <c r="AA165" s="155"/>
      <c r="AC165" s="155"/>
    </row>
    <row r="167" spans="5:29" x14ac:dyDescent="0.2">
      <c r="E167" s="155"/>
      <c r="G167" s="155"/>
      <c r="I167" s="155"/>
      <c r="K167" s="155"/>
      <c r="M167" s="155"/>
      <c r="O167" s="155"/>
      <c r="Q167" s="155"/>
      <c r="S167" s="155"/>
      <c r="U167" s="155"/>
      <c r="W167" s="155"/>
      <c r="Y167" s="155"/>
      <c r="AA167" s="155"/>
      <c r="AC167" s="155"/>
    </row>
    <row r="169" spans="5:29" x14ac:dyDescent="0.2">
      <c r="E169" s="155"/>
      <c r="G169" s="155"/>
      <c r="I169" s="155"/>
      <c r="K169" s="155"/>
      <c r="M169" s="155"/>
      <c r="O169" s="155"/>
      <c r="Q169" s="155"/>
      <c r="S169" s="155"/>
      <c r="U169" s="155"/>
      <c r="W169" s="155"/>
      <c r="Y169" s="155"/>
      <c r="AA169" s="155"/>
      <c r="AC169" s="155"/>
    </row>
    <row r="171" spans="5:29" x14ac:dyDescent="0.2">
      <c r="E171" s="155"/>
      <c r="G171" s="155"/>
      <c r="I171" s="155"/>
      <c r="K171" s="155"/>
      <c r="M171" s="155"/>
      <c r="O171" s="155"/>
      <c r="Q171" s="155"/>
      <c r="S171" s="155"/>
      <c r="U171" s="155"/>
      <c r="W171" s="155"/>
      <c r="Y171" s="155"/>
      <c r="AA171" s="155"/>
      <c r="AC171" s="155"/>
    </row>
    <row r="173" spans="5:29" x14ac:dyDescent="0.2">
      <c r="E173" s="155"/>
      <c r="G173" s="155"/>
      <c r="I173" s="155"/>
      <c r="K173" s="155"/>
      <c r="M173" s="155"/>
      <c r="O173" s="155"/>
      <c r="Q173" s="155"/>
      <c r="S173" s="155"/>
      <c r="U173" s="155"/>
      <c r="W173" s="155"/>
      <c r="Y173" s="155"/>
      <c r="AA173" s="155"/>
      <c r="AC173" s="155"/>
    </row>
    <row r="175" spans="5:29" x14ac:dyDescent="0.2">
      <c r="E175" s="155"/>
      <c r="G175" s="155"/>
      <c r="I175" s="155"/>
      <c r="K175" s="155"/>
      <c r="M175" s="155"/>
      <c r="O175" s="155"/>
      <c r="Q175" s="155"/>
      <c r="S175" s="155"/>
      <c r="U175" s="155"/>
      <c r="W175" s="155"/>
      <c r="Y175" s="155"/>
      <c r="AA175" s="155"/>
      <c r="AC175" s="155"/>
    </row>
    <row r="177" spans="5:29" x14ac:dyDescent="0.2">
      <c r="E177" s="155"/>
      <c r="G177" s="155"/>
      <c r="I177" s="155"/>
      <c r="K177" s="155"/>
      <c r="M177" s="155"/>
      <c r="O177" s="155"/>
      <c r="Q177" s="155"/>
      <c r="S177" s="155"/>
      <c r="U177" s="155"/>
      <c r="W177" s="155"/>
      <c r="Y177" s="155"/>
      <c r="AA177" s="155"/>
      <c r="AC177" s="155"/>
    </row>
    <row r="179" spans="5:29" x14ac:dyDescent="0.2">
      <c r="E179" s="155"/>
      <c r="G179" s="155"/>
      <c r="I179" s="155"/>
      <c r="K179" s="155"/>
      <c r="M179" s="155"/>
      <c r="O179" s="155"/>
      <c r="Q179" s="155"/>
      <c r="S179" s="155"/>
      <c r="U179" s="155"/>
      <c r="W179" s="155"/>
      <c r="Y179" s="155"/>
      <c r="AA179" s="155"/>
      <c r="AC179" s="155"/>
    </row>
    <row r="181" spans="5:29" x14ac:dyDescent="0.2">
      <c r="E181" s="155"/>
      <c r="G181" s="155"/>
      <c r="I181" s="155"/>
      <c r="K181" s="155"/>
      <c r="M181" s="155"/>
      <c r="O181" s="155"/>
      <c r="Q181" s="155"/>
      <c r="S181" s="155"/>
      <c r="U181" s="155"/>
      <c r="W181" s="155"/>
      <c r="Y181" s="155"/>
      <c r="AA181" s="155"/>
      <c r="AC181" s="155"/>
    </row>
    <row r="183" spans="5:29" x14ac:dyDescent="0.2">
      <c r="E183" s="155"/>
      <c r="G183" s="155"/>
      <c r="I183" s="155"/>
      <c r="K183" s="155"/>
      <c r="M183" s="155"/>
      <c r="O183" s="155"/>
      <c r="Q183" s="155"/>
      <c r="S183" s="155"/>
      <c r="U183" s="155"/>
      <c r="W183" s="155"/>
      <c r="Y183" s="155"/>
      <c r="AA183" s="155"/>
      <c r="AC183" s="155"/>
    </row>
    <row r="185" spans="5:29" x14ac:dyDescent="0.2">
      <c r="E185" s="155"/>
      <c r="G185" s="155"/>
      <c r="I185" s="155"/>
      <c r="K185" s="155"/>
      <c r="M185" s="155"/>
      <c r="O185" s="155"/>
      <c r="Q185" s="155"/>
      <c r="S185" s="155"/>
      <c r="U185" s="155"/>
      <c r="W185" s="155"/>
      <c r="Y185" s="155"/>
      <c r="AA185" s="155"/>
      <c r="AC185" s="155"/>
    </row>
    <row r="187" spans="5:29" x14ac:dyDescent="0.2">
      <c r="E187" s="155"/>
      <c r="G187" s="155"/>
      <c r="I187" s="155"/>
      <c r="K187" s="155"/>
      <c r="M187" s="155"/>
      <c r="O187" s="155"/>
      <c r="Q187" s="155"/>
      <c r="S187" s="155"/>
      <c r="U187" s="155"/>
      <c r="W187" s="155"/>
      <c r="Y187" s="155"/>
      <c r="AA187" s="155"/>
      <c r="AC187" s="155"/>
    </row>
    <row r="189" spans="5:29" x14ac:dyDescent="0.2">
      <c r="E189" s="155"/>
      <c r="G189" s="155"/>
      <c r="I189" s="155"/>
      <c r="K189" s="155"/>
      <c r="M189" s="155"/>
      <c r="O189" s="155"/>
      <c r="Q189" s="155"/>
      <c r="S189" s="155"/>
      <c r="U189" s="155"/>
      <c r="W189" s="155"/>
      <c r="Y189" s="155"/>
      <c r="AA189" s="155"/>
      <c r="AC189" s="155"/>
    </row>
    <row r="191" spans="5:29" x14ac:dyDescent="0.2">
      <c r="E191" s="155"/>
      <c r="G191" s="155"/>
      <c r="I191" s="155"/>
      <c r="K191" s="155"/>
      <c r="M191" s="155"/>
      <c r="O191" s="155"/>
      <c r="Q191" s="155"/>
      <c r="S191" s="155"/>
      <c r="U191" s="155"/>
      <c r="W191" s="155"/>
      <c r="Y191" s="155"/>
      <c r="AA191" s="155"/>
      <c r="AC191" s="155"/>
    </row>
    <row r="193" spans="3:29" x14ac:dyDescent="0.2">
      <c r="E193" s="155"/>
      <c r="G193" s="155"/>
      <c r="I193" s="155"/>
      <c r="K193" s="155"/>
      <c r="M193" s="155"/>
      <c r="O193" s="155"/>
      <c r="Q193" s="155"/>
      <c r="S193" s="155"/>
      <c r="U193" s="155"/>
      <c r="W193" s="155"/>
      <c r="Y193" s="155"/>
      <c r="AA193" s="155"/>
      <c r="AC193" s="155"/>
    </row>
    <row r="195" spans="3:29" x14ac:dyDescent="0.2">
      <c r="E195" s="155"/>
      <c r="G195" s="155"/>
      <c r="I195" s="155"/>
      <c r="K195" s="155"/>
      <c r="M195" s="155"/>
      <c r="O195" s="155"/>
      <c r="Q195" s="155"/>
      <c r="S195" s="155"/>
      <c r="U195" s="155"/>
      <c r="W195" s="155"/>
      <c r="Y195" s="155"/>
      <c r="AA195" s="155"/>
      <c r="AC195" s="155"/>
    </row>
    <row r="197" spans="3:29" x14ac:dyDescent="0.2">
      <c r="E197" s="155"/>
      <c r="G197" s="155"/>
      <c r="I197" s="155"/>
      <c r="K197" s="155"/>
      <c r="M197" s="155"/>
      <c r="O197" s="155"/>
      <c r="Q197" s="155"/>
      <c r="S197" s="155"/>
      <c r="U197" s="155"/>
      <c r="W197" s="155"/>
      <c r="Y197" s="155"/>
      <c r="AA197" s="155"/>
      <c r="AC197" s="155"/>
    </row>
    <row r="199" spans="3:29" x14ac:dyDescent="0.2">
      <c r="E199" s="155"/>
      <c r="G199" s="155"/>
      <c r="I199" s="155"/>
      <c r="K199" s="155"/>
      <c r="M199" s="155"/>
      <c r="O199" s="155"/>
      <c r="Q199" s="155"/>
      <c r="S199" s="155"/>
      <c r="U199" s="155"/>
      <c r="W199" s="155"/>
      <c r="Y199" s="155"/>
      <c r="AA199" s="155"/>
      <c r="AC199" s="155"/>
    </row>
    <row r="201" spans="3:29" x14ac:dyDescent="0.2">
      <c r="E201" s="155"/>
      <c r="G201" s="155"/>
      <c r="I201" s="155"/>
      <c r="K201" s="155"/>
      <c r="M201" s="155"/>
      <c r="O201" s="155"/>
      <c r="Q201" s="155"/>
      <c r="S201" s="155"/>
      <c r="U201" s="155"/>
      <c r="W201" s="155"/>
      <c r="Y201" s="155"/>
      <c r="AA201" s="155"/>
      <c r="AC201" s="155"/>
    </row>
    <row r="203" spans="3:29" x14ac:dyDescent="0.2">
      <c r="E203" s="155"/>
      <c r="G203" s="155"/>
      <c r="I203" s="155"/>
      <c r="K203" s="155"/>
      <c r="M203" s="155"/>
      <c r="O203" s="155"/>
      <c r="Q203" s="155"/>
      <c r="S203" s="155"/>
      <c r="U203" s="155"/>
      <c r="W203" s="155"/>
      <c r="Y203" s="155"/>
      <c r="AA203" s="155"/>
      <c r="AC203" s="155"/>
    </row>
    <row r="205" spans="3:29" x14ac:dyDescent="0.2">
      <c r="E205" s="155"/>
      <c r="G205" s="155"/>
      <c r="I205" s="155"/>
      <c r="K205" s="155"/>
      <c r="M205" s="155"/>
      <c r="O205" s="155"/>
      <c r="Q205" s="155"/>
      <c r="S205" s="155"/>
      <c r="U205" s="155"/>
      <c r="W205" s="155"/>
      <c r="Y205" s="155"/>
      <c r="AA205" s="155"/>
      <c r="AC205" s="155"/>
    </row>
    <row r="206" spans="3:29" x14ac:dyDescent="0.2">
      <c r="C206" s="156"/>
    </row>
    <row r="207" spans="3:29" x14ac:dyDescent="0.2">
      <c r="C207" s="156"/>
    </row>
    <row r="208" spans="3:29" x14ac:dyDescent="0.2">
      <c r="C208" s="155"/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D372-5DEC-4396-BAD3-100E3DFF8C54}">
  <dimension ref="A2:F30"/>
  <sheetViews>
    <sheetView topLeftCell="A8" workbookViewId="0">
      <selection activeCell="G20" sqref="G20"/>
    </sheetView>
  </sheetViews>
  <sheetFormatPr defaultRowHeight="14.4" x14ac:dyDescent="0.3"/>
  <cols>
    <col min="1" max="1" width="28.44140625" bestFit="1" customWidth="1"/>
    <col min="2" max="6" width="12.77734375" bestFit="1" customWidth="1"/>
  </cols>
  <sheetData>
    <row r="2" spans="1:6" x14ac:dyDescent="0.3">
      <c r="C2" s="43" t="s">
        <v>481</v>
      </c>
      <c r="D2" s="43" t="s">
        <v>482</v>
      </c>
      <c r="E2" s="43" t="s">
        <v>505</v>
      </c>
    </row>
    <row r="3" spans="1:6" x14ac:dyDescent="0.3">
      <c r="A3" t="s">
        <v>480</v>
      </c>
      <c r="B3" s="104">
        <f>+'COST DATA'!B71</f>
        <v>80000</v>
      </c>
      <c r="C3" s="201">
        <f>+'COST DATA'!C71/100</f>
        <v>7.0000000000000007E-2</v>
      </c>
      <c r="D3" s="43">
        <f>+E3/12</f>
        <v>4</v>
      </c>
      <c r="E3" s="43">
        <f>+'COST DATA'!D71</f>
        <v>48</v>
      </c>
    </row>
    <row r="4" spans="1:6" x14ac:dyDescent="0.3">
      <c r="A4" t="s">
        <v>483</v>
      </c>
      <c r="B4" s="104">
        <f>+'COST DATA'!D71</f>
        <v>48</v>
      </c>
    </row>
    <row r="6" spans="1:6" x14ac:dyDescent="0.3">
      <c r="A6" t="s">
        <v>484</v>
      </c>
      <c r="B6" s="104">
        <f>+B3+'COST DATA'!K83+'COST DATA'!K95+'COST DATA'!K107+'COST DATA'!K119</f>
        <v>91953.62</v>
      </c>
    </row>
    <row r="10" spans="1:6" x14ac:dyDescent="0.3">
      <c r="B10" s="161" t="s">
        <v>485</v>
      </c>
      <c r="C10" s="161" t="s">
        <v>486</v>
      </c>
      <c r="D10" s="161" t="s">
        <v>487</v>
      </c>
      <c r="E10" s="161" t="s">
        <v>488</v>
      </c>
      <c r="F10" s="161" t="s">
        <v>489</v>
      </c>
    </row>
    <row r="12" spans="1:6" x14ac:dyDescent="0.3">
      <c r="A12" s="33" t="s">
        <v>490</v>
      </c>
      <c r="B12" s="104">
        <f>+B3</f>
        <v>80000</v>
      </c>
    </row>
    <row r="13" spans="1:6" x14ac:dyDescent="0.3">
      <c r="A13" s="33"/>
    </row>
    <row r="14" spans="1:6" x14ac:dyDescent="0.3">
      <c r="A14" s="33"/>
    </row>
    <row r="15" spans="1:6" x14ac:dyDescent="0.3">
      <c r="A15" s="33" t="s">
        <v>508</v>
      </c>
      <c r="C15" s="207">
        <f>+'INCOME STATEMENT'!AC25</f>
        <v>128806.8</v>
      </c>
      <c r="D15" s="207">
        <f>+C15+(C15*10%)</f>
        <v>141687.48000000001</v>
      </c>
      <c r="E15" s="207">
        <f t="shared" ref="E15:F15" si="0">+D15+(D15*10%)</f>
        <v>155856.228</v>
      </c>
      <c r="F15" s="207">
        <f t="shared" si="0"/>
        <v>171441.85080000001</v>
      </c>
    </row>
    <row r="16" spans="1:6" x14ac:dyDescent="0.3">
      <c r="A16" s="206"/>
      <c r="C16" s="208"/>
      <c r="D16" s="208"/>
      <c r="E16" s="208"/>
      <c r="F16" s="208"/>
    </row>
    <row r="17" spans="1:6" x14ac:dyDescent="0.3">
      <c r="A17" s="33" t="s">
        <v>509</v>
      </c>
      <c r="C17" s="207">
        <f>+'INCOME STATEMENT'!AC51</f>
        <v>-23345.470255259846</v>
      </c>
      <c r="D17" s="207">
        <f>+C17+(C17*10%)</f>
        <v>-25680.017280785833</v>
      </c>
      <c r="E17" s="207">
        <f>+D17+(D17*10%)</f>
        <v>-28248.019008864416</v>
      </c>
      <c r="F17" s="207">
        <f>+E17+(E17*10%)</f>
        <v>-31072.820909750859</v>
      </c>
    </row>
    <row r="18" spans="1:6" x14ac:dyDescent="0.3">
      <c r="A18" s="33" t="s">
        <v>510</v>
      </c>
      <c r="C18" s="207">
        <f>+'INCOME STATEMENT'!AC118+'INCOME STATEMENT'!AC102</f>
        <v>-78385.928110324356</v>
      </c>
      <c r="D18" s="207">
        <f>+C18+(C18*2%)</f>
        <v>-79953.646672530842</v>
      </c>
      <c r="E18" s="207">
        <f>+D18+(D18*3%)</f>
        <v>-82352.256072706761</v>
      </c>
      <c r="F18" s="207">
        <f>+E18+(E18*4%)</f>
        <v>-85646.346315615025</v>
      </c>
    </row>
    <row r="19" spans="1:6" x14ac:dyDescent="0.3">
      <c r="A19" s="33"/>
      <c r="C19" s="208"/>
      <c r="D19" s="208"/>
      <c r="E19" s="208"/>
      <c r="F19" s="208"/>
    </row>
    <row r="20" spans="1:6" x14ac:dyDescent="0.3">
      <c r="A20" s="205" t="s">
        <v>511</v>
      </c>
      <c r="C20" s="209">
        <f>++C15+C17+C18</f>
        <v>27075.401634415801</v>
      </c>
      <c r="D20" s="209">
        <f>++D15+D17+D18</f>
        <v>36053.816046683336</v>
      </c>
      <c r="E20" s="209">
        <f>++E15+E17+E18</f>
        <v>45255.952918428826</v>
      </c>
      <c r="F20" s="209">
        <f>++F15+F17+F18</f>
        <v>54722.683574634138</v>
      </c>
    </row>
    <row r="21" spans="1:6" x14ac:dyDescent="0.3">
      <c r="C21" s="208"/>
      <c r="D21" s="208"/>
      <c r="E21" s="208"/>
      <c r="F21" s="208"/>
    </row>
    <row r="22" spans="1:6" x14ac:dyDescent="0.3">
      <c r="A22" s="204" t="s">
        <v>506</v>
      </c>
      <c r="C22" s="207">
        <f>-'COST DATA'!K83</f>
        <v>-5031.1400000000003</v>
      </c>
      <c r="D22" s="207">
        <f>-'COST DATA'!K95</f>
        <v>-3733.0099999999993</v>
      </c>
      <c r="E22" s="207">
        <f>-'COST DATA'!K107</f>
        <v>-2341.0299999999997</v>
      </c>
      <c r="F22" s="207">
        <f>-'COST DATA'!K119</f>
        <v>-848.43999999999994</v>
      </c>
    </row>
    <row r="23" spans="1:6" x14ac:dyDescent="0.3">
      <c r="A23" s="204" t="s">
        <v>507</v>
      </c>
      <c r="C23" s="207">
        <f>-'COST DATA'!L83</f>
        <v>-17957.260000000002</v>
      </c>
      <c r="D23" s="207">
        <f>-'COST DATA'!L95</f>
        <v>-19255.39</v>
      </c>
      <c r="E23" s="207">
        <f>-'COST DATA'!L107</f>
        <v>-20647.370000000003</v>
      </c>
      <c r="F23" s="207">
        <f>-'COST DATA'!L119</f>
        <v>-22139.960000000003</v>
      </c>
    </row>
    <row r="24" spans="1:6" x14ac:dyDescent="0.3">
      <c r="C24" s="208"/>
      <c r="D24" s="208"/>
      <c r="E24" s="208"/>
      <c r="F24" s="208"/>
    </row>
    <row r="25" spans="1:6" x14ac:dyDescent="0.3">
      <c r="A25" s="205" t="s">
        <v>513</v>
      </c>
      <c r="C25" s="209">
        <f>+C20+C22+C23</f>
        <v>4087.0016344157993</v>
      </c>
      <c r="D25" s="209">
        <f t="shared" ref="D25:F25" si="1">+D20+D22+D23</f>
        <v>13065.416046683338</v>
      </c>
      <c r="E25" s="209">
        <f t="shared" si="1"/>
        <v>22267.552918428824</v>
      </c>
      <c r="F25" s="209">
        <f t="shared" si="1"/>
        <v>31734.283574634133</v>
      </c>
    </row>
    <row r="26" spans="1:6" x14ac:dyDescent="0.3">
      <c r="C26" s="208"/>
      <c r="D26" s="208"/>
      <c r="E26" s="208"/>
      <c r="F26" s="208"/>
    </row>
    <row r="27" spans="1:6" x14ac:dyDescent="0.3">
      <c r="A27" t="s">
        <v>512</v>
      </c>
      <c r="B27" s="200">
        <f>+'INCOME STATEMENT'!D145</f>
        <v>0.35</v>
      </c>
      <c r="C27" s="208">
        <f>-'INCOME STATEMENT'!AC145</f>
        <v>-5559.6665720455303</v>
      </c>
      <c r="D27" s="109">
        <f>-(D20+D22)*$B$27</f>
        <v>-11312.282116339167</v>
      </c>
      <c r="E27" s="109">
        <f t="shared" ref="E27:F27" si="2">-(E20+E22)*$B$27</f>
        <v>-15020.223021450089</v>
      </c>
      <c r="F27" s="109">
        <f t="shared" si="2"/>
        <v>-18855.985251121947</v>
      </c>
    </row>
    <row r="28" spans="1:6" x14ac:dyDescent="0.3">
      <c r="C28" s="208"/>
      <c r="D28" s="208"/>
      <c r="E28" s="208"/>
      <c r="F28" s="208"/>
    </row>
    <row r="29" spans="1:6" x14ac:dyDescent="0.3">
      <c r="A29" s="205" t="s">
        <v>514</v>
      </c>
      <c r="C29" s="209">
        <f>+C25+C27</f>
        <v>-1472.664937629731</v>
      </c>
      <c r="D29" s="209">
        <f t="shared" ref="D29:F29" si="3">+D25+D27</f>
        <v>1753.1339303441709</v>
      </c>
      <c r="E29" s="209">
        <f t="shared" si="3"/>
        <v>7247.3298969787356</v>
      </c>
      <c r="F29" s="209">
        <f t="shared" si="3"/>
        <v>12878.298323512186</v>
      </c>
    </row>
    <row r="30" spans="1:6" x14ac:dyDescent="0.3">
      <c r="A30" s="205" t="s">
        <v>515</v>
      </c>
      <c r="C30" s="209">
        <f>+C29</f>
        <v>-1472.664937629731</v>
      </c>
      <c r="D30" s="209">
        <f>+C30+D29</f>
        <v>280.46899271443999</v>
      </c>
      <c r="E30" s="209">
        <f t="shared" ref="E30:F30" si="4">+D30+E29</f>
        <v>7527.7988896931756</v>
      </c>
      <c r="F30" s="209">
        <f t="shared" si="4"/>
        <v>20406.097213205361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B81C-C211-4719-A31B-77E6BE26D213}">
  <sheetPr>
    <tabColor theme="9" tint="0.39997558519241921"/>
  </sheetPr>
  <dimension ref="A1:AK19"/>
  <sheetViews>
    <sheetView zoomScale="106" workbookViewId="0">
      <pane xSplit="7" ySplit="4" topLeftCell="I5" activePane="bottomRight" state="frozen"/>
      <selection pane="topRight" activeCell="H1" sqref="H1"/>
      <selection pane="bottomLeft" activeCell="A5" sqref="A5"/>
      <selection pane="bottomRight" activeCell="E10" sqref="E10"/>
    </sheetView>
  </sheetViews>
  <sheetFormatPr defaultRowHeight="14.4" x14ac:dyDescent="0.3"/>
  <cols>
    <col min="1" max="1" width="10.109375" bestFit="1" customWidth="1"/>
    <col min="2" max="2" width="10.6640625" bestFit="1" customWidth="1"/>
    <col min="3" max="3" width="47.88671875" bestFit="1" customWidth="1"/>
    <col min="4" max="4" width="11.5546875" bestFit="1" customWidth="1"/>
    <col min="5" max="5" width="3.5546875" bestFit="1" customWidth="1"/>
    <col min="6" max="6" width="5.6640625" bestFit="1" customWidth="1"/>
    <col min="7" max="7" width="12" bestFit="1" customWidth="1"/>
    <col min="8" max="9" width="11" bestFit="1" customWidth="1"/>
    <col min="10" max="27" width="12" bestFit="1" customWidth="1"/>
    <col min="28" max="28" width="11" bestFit="1" customWidth="1"/>
    <col min="29" max="30" width="12" bestFit="1" customWidth="1"/>
    <col min="31" max="31" width="11" bestFit="1" customWidth="1"/>
    <col min="32" max="32" width="8.6640625" bestFit="1" customWidth="1"/>
    <col min="33" max="33" width="5.6640625" bestFit="1" customWidth="1"/>
    <col min="34" max="34" width="7.6640625" bestFit="1" customWidth="1"/>
    <col min="35" max="35" width="10.5546875" bestFit="1" customWidth="1"/>
    <col min="36" max="36" width="11" bestFit="1" customWidth="1"/>
    <col min="37" max="37" width="12" bestFit="1" customWidth="1"/>
  </cols>
  <sheetData>
    <row r="1" spans="1:37" x14ac:dyDescent="0.3">
      <c r="B1" s="30">
        <v>0.15</v>
      </c>
    </row>
    <row r="2" spans="1:37" x14ac:dyDescent="0.3">
      <c r="B2" s="33"/>
      <c r="G2" s="167">
        <f>SUBTOTAL(9,G5:G6)</f>
        <v>73200</v>
      </c>
      <c r="H2" s="7">
        <f t="shared" ref="H2:AK2" si="0">SUBTOTAL(9,H5:H6)</f>
        <v>5490</v>
      </c>
      <c r="I2" s="7">
        <f t="shared" si="0"/>
        <v>5490</v>
      </c>
      <c r="J2" s="7">
        <f t="shared" si="0"/>
        <v>67710</v>
      </c>
      <c r="K2" s="7">
        <f t="shared" si="0"/>
        <v>10980</v>
      </c>
      <c r="L2" s="7">
        <f t="shared" si="0"/>
        <v>16470</v>
      </c>
      <c r="M2" s="7">
        <f t="shared" si="0"/>
        <v>56730</v>
      </c>
      <c r="N2" s="7">
        <f t="shared" si="0"/>
        <v>10980</v>
      </c>
      <c r="O2" s="7">
        <f t="shared" si="0"/>
        <v>27450</v>
      </c>
      <c r="P2" s="7">
        <f t="shared" si="0"/>
        <v>45750</v>
      </c>
      <c r="Q2" s="7">
        <f t="shared" si="0"/>
        <v>10980</v>
      </c>
      <c r="R2" s="7">
        <f t="shared" si="0"/>
        <v>38430</v>
      </c>
      <c r="S2" s="7">
        <f t="shared" si="0"/>
        <v>34770</v>
      </c>
      <c r="T2" s="7">
        <f t="shared" si="0"/>
        <v>10980</v>
      </c>
      <c r="U2" s="7">
        <f t="shared" si="0"/>
        <v>49410</v>
      </c>
      <c r="V2" s="7">
        <f t="shared" si="0"/>
        <v>23790</v>
      </c>
      <c r="W2" s="7">
        <f t="shared" si="0"/>
        <v>10980</v>
      </c>
      <c r="X2" s="7">
        <f t="shared" si="0"/>
        <v>60390</v>
      </c>
      <c r="Y2" s="7">
        <f t="shared" si="0"/>
        <v>12810</v>
      </c>
      <c r="Z2" s="7">
        <f t="shared" si="0"/>
        <v>10980</v>
      </c>
      <c r="AA2" s="7">
        <f t="shared" si="0"/>
        <v>71370</v>
      </c>
      <c r="AB2" s="7">
        <f t="shared" si="0"/>
        <v>1830</v>
      </c>
      <c r="AC2" s="7">
        <f t="shared" si="0"/>
        <v>1830</v>
      </c>
      <c r="AD2" s="7">
        <f t="shared" si="0"/>
        <v>73200</v>
      </c>
      <c r="AE2" s="7">
        <f t="shared" si="0"/>
        <v>0</v>
      </c>
      <c r="AF2">
        <f t="shared" si="0"/>
        <v>0</v>
      </c>
      <c r="AG2">
        <f t="shared" si="0"/>
        <v>0</v>
      </c>
      <c r="AH2">
        <f t="shared" si="0"/>
        <v>0</v>
      </c>
      <c r="AI2">
        <f t="shared" si="0"/>
        <v>0</v>
      </c>
      <c r="AJ2" s="32">
        <f t="shared" si="0"/>
        <v>0</v>
      </c>
      <c r="AK2" s="31">
        <f t="shared" si="0"/>
        <v>0</v>
      </c>
    </row>
    <row r="3" spans="1:37" ht="18" x14ac:dyDescent="0.35">
      <c r="B3" s="33"/>
      <c r="H3" s="217">
        <v>2024</v>
      </c>
      <c r="I3" s="218"/>
      <c r="J3" s="219"/>
      <c r="K3" s="217">
        <v>2025</v>
      </c>
      <c r="L3" s="218"/>
      <c r="M3" s="219"/>
      <c r="N3" s="217">
        <v>2026</v>
      </c>
      <c r="O3" s="218"/>
      <c r="P3" s="219"/>
      <c r="Q3" s="217">
        <v>2027</v>
      </c>
      <c r="R3" s="218"/>
      <c r="S3" s="219"/>
      <c r="T3" s="217">
        <v>2028</v>
      </c>
      <c r="U3" s="218"/>
      <c r="V3" s="219"/>
      <c r="W3" s="217">
        <v>2029</v>
      </c>
      <c r="X3" s="218"/>
      <c r="Y3" s="219"/>
      <c r="Z3" s="217">
        <v>2030</v>
      </c>
      <c r="AA3" s="218"/>
      <c r="AB3" s="219"/>
      <c r="AC3" s="217">
        <v>2031</v>
      </c>
      <c r="AD3" s="218"/>
      <c r="AE3" s="219"/>
      <c r="AF3" s="220" t="s">
        <v>60</v>
      </c>
      <c r="AG3" s="221"/>
      <c r="AH3" s="221"/>
      <c r="AI3" s="221"/>
      <c r="AJ3" s="221"/>
      <c r="AK3" s="221"/>
    </row>
    <row r="4" spans="1:37" x14ac:dyDescent="0.3">
      <c r="A4" s="34" t="s">
        <v>76</v>
      </c>
      <c r="B4" s="34" t="s">
        <v>61</v>
      </c>
      <c r="C4" s="34" t="s">
        <v>62</v>
      </c>
      <c r="D4" s="34" t="s">
        <v>63</v>
      </c>
      <c r="E4" s="34" t="s">
        <v>64</v>
      </c>
      <c r="F4" s="34" t="s">
        <v>65</v>
      </c>
      <c r="G4" s="168" t="s">
        <v>66</v>
      </c>
      <c r="H4" s="34" t="s">
        <v>67</v>
      </c>
      <c r="I4" s="34" t="s">
        <v>68</v>
      </c>
      <c r="J4" s="34" t="s">
        <v>69</v>
      </c>
      <c r="K4" s="34" t="s">
        <v>67</v>
      </c>
      <c r="L4" s="34" t="s">
        <v>68</v>
      </c>
      <c r="M4" s="34" t="s">
        <v>69</v>
      </c>
      <c r="N4" s="34" t="s">
        <v>67</v>
      </c>
      <c r="O4" s="34" t="s">
        <v>68</v>
      </c>
      <c r="P4" s="34" t="s">
        <v>69</v>
      </c>
      <c r="Q4" s="34" t="s">
        <v>67</v>
      </c>
      <c r="R4" s="34" t="s">
        <v>68</v>
      </c>
      <c r="S4" s="34" t="s">
        <v>69</v>
      </c>
      <c r="T4" s="34" t="s">
        <v>67</v>
      </c>
      <c r="U4" s="34" t="s">
        <v>68</v>
      </c>
      <c r="V4" s="34" t="s">
        <v>69</v>
      </c>
      <c r="W4" s="34" t="s">
        <v>67</v>
      </c>
      <c r="X4" s="34" t="s">
        <v>68</v>
      </c>
      <c r="Y4" s="34" t="s">
        <v>69</v>
      </c>
      <c r="Z4" s="34" t="s">
        <v>67</v>
      </c>
      <c r="AA4" s="34" t="s">
        <v>68</v>
      </c>
      <c r="AB4" s="34" t="s">
        <v>69</v>
      </c>
      <c r="AC4" s="34" t="s">
        <v>67</v>
      </c>
      <c r="AD4" s="34" t="s">
        <v>68</v>
      </c>
      <c r="AE4" s="34" t="s">
        <v>69</v>
      </c>
      <c r="AF4" s="169" t="s">
        <v>70</v>
      </c>
      <c r="AG4" s="34" t="s">
        <v>65</v>
      </c>
      <c r="AH4" s="34" t="s">
        <v>71</v>
      </c>
      <c r="AI4" s="34" t="s">
        <v>72</v>
      </c>
      <c r="AJ4" s="35" t="s">
        <v>73</v>
      </c>
      <c r="AK4" s="36" t="s">
        <v>74</v>
      </c>
    </row>
    <row r="5" spans="1:37" x14ac:dyDescent="0.3">
      <c r="A5" s="22">
        <v>1</v>
      </c>
      <c r="B5" s="25">
        <v>120200165</v>
      </c>
      <c r="C5" s="22" t="s">
        <v>77</v>
      </c>
      <c r="G5" s="186">
        <f>45000+(22%*45000)</f>
        <v>54900</v>
      </c>
      <c r="H5" s="187">
        <f>+G5*$B$1/2</f>
        <v>4117.5</v>
      </c>
      <c r="I5" s="188">
        <f>+H5</f>
        <v>4117.5</v>
      </c>
      <c r="J5" s="189">
        <f>+G5-I5</f>
        <v>50782.5</v>
      </c>
      <c r="K5" s="187">
        <f>+$G5*$B$1</f>
        <v>8235</v>
      </c>
      <c r="L5" s="188">
        <f>+I5+K5</f>
        <v>12352.5</v>
      </c>
      <c r="M5" s="189">
        <f>+$G5-L5</f>
        <v>42547.5</v>
      </c>
      <c r="N5" s="187">
        <f>+$G5*$B$1</f>
        <v>8235</v>
      </c>
      <c r="O5" s="188">
        <f>+L5+N5</f>
        <v>20587.5</v>
      </c>
      <c r="P5" s="189">
        <f>+$G5-O5</f>
        <v>34312.5</v>
      </c>
      <c r="Q5" s="187">
        <f>+$G5*$B$1</f>
        <v>8235</v>
      </c>
      <c r="R5" s="188">
        <f>+O5+Q5</f>
        <v>28822.5</v>
      </c>
      <c r="S5" s="189">
        <f>+$G5-R5</f>
        <v>26077.5</v>
      </c>
      <c r="T5" s="187">
        <f>+$G5*$B$1</f>
        <v>8235</v>
      </c>
      <c r="U5" s="188">
        <f>+R5+T5</f>
        <v>37057.5</v>
      </c>
      <c r="V5" s="189">
        <f>+$G5-U5</f>
        <v>17842.5</v>
      </c>
      <c r="W5" s="187">
        <f>+$G5*$B$1</f>
        <v>8235</v>
      </c>
      <c r="X5" s="188">
        <f>+U5+W5</f>
        <v>45292.5</v>
      </c>
      <c r="Y5" s="189">
        <f>+$G5-X5</f>
        <v>9607.5</v>
      </c>
      <c r="Z5" s="187">
        <f>+$G5*$B$1</f>
        <v>8235</v>
      </c>
      <c r="AA5" s="188">
        <f>+X5+Z5</f>
        <v>53527.5</v>
      </c>
      <c r="AB5" s="189">
        <f>+$G5-AA5</f>
        <v>1372.5</v>
      </c>
      <c r="AC5" s="187">
        <v>1372.5</v>
      </c>
      <c r="AD5" s="188">
        <f>+AA5+AC5</f>
        <v>54900</v>
      </c>
      <c r="AE5" s="189">
        <f>+$G5-AD5</f>
        <v>0</v>
      </c>
      <c r="AF5" s="38"/>
      <c r="AG5" s="12"/>
      <c r="AH5" s="39"/>
      <c r="AI5" s="37"/>
      <c r="AJ5" s="40"/>
      <c r="AK5" s="40"/>
    </row>
    <row r="6" spans="1:37" x14ac:dyDescent="0.3">
      <c r="A6" s="22">
        <v>2</v>
      </c>
      <c r="B6" s="25" t="s">
        <v>75</v>
      </c>
      <c r="C6" s="22" t="s">
        <v>78</v>
      </c>
      <c r="G6" s="186">
        <f>15000+(22%*15000)</f>
        <v>18300</v>
      </c>
      <c r="H6" s="190">
        <f>+G6*$B$1/2</f>
        <v>1372.5</v>
      </c>
      <c r="I6" s="191">
        <f>+H6</f>
        <v>1372.5</v>
      </c>
      <c r="J6" s="192">
        <f>+G6-I6</f>
        <v>16927.5</v>
      </c>
      <c r="K6" s="190">
        <f>+$G6*$B$1</f>
        <v>2745</v>
      </c>
      <c r="L6" s="191">
        <f t="shared" ref="L6" si="1">+I6+K6</f>
        <v>4117.5</v>
      </c>
      <c r="M6" s="192">
        <f t="shared" ref="M6" si="2">+$G6-L6</f>
        <v>14182.5</v>
      </c>
      <c r="N6" s="190">
        <f>+$G6*$B$1</f>
        <v>2745</v>
      </c>
      <c r="O6" s="191">
        <f t="shared" ref="O6" si="3">+L6+N6</f>
        <v>6862.5</v>
      </c>
      <c r="P6" s="192">
        <f t="shared" ref="P6" si="4">+$G6-O6</f>
        <v>11437.5</v>
      </c>
      <c r="Q6" s="190">
        <f>+$G6*$B$1</f>
        <v>2745</v>
      </c>
      <c r="R6" s="191">
        <f t="shared" ref="R6" si="5">+O6+Q6</f>
        <v>9607.5</v>
      </c>
      <c r="S6" s="192">
        <f t="shared" ref="S6" si="6">+$G6-R6</f>
        <v>8692.5</v>
      </c>
      <c r="T6" s="190">
        <f>+$G6*$B$1</f>
        <v>2745</v>
      </c>
      <c r="U6" s="191">
        <f t="shared" ref="U6" si="7">+R6+T6</f>
        <v>12352.5</v>
      </c>
      <c r="V6" s="192">
        <f t="shared" ref="V6" si="8">+$G6-U6</f>
        <v>5947.5</v>
      </c>
      <c r="W6" s="190">
        <f>+$G6*$B$1</f>
        <v>2745</v>
      </c>
      <c r="X6" s="191">
        <f t="shared" ref="X6" si="9">+U6+W6</f>
        <v>15097.5</v>
      </c>
      <c r="Y6" s="192">
        <f t="shared" ref="Y6" si="10">+$G6-X6</f>
        <v>3202.5</v>
      </c>
      <c r="Z6" s="190">
        <f>+$G6*$B$1</f>
        <v>2745</v>
      </c>
      <c r="AA6" s="191">
        <f t="shared" ref="AA6" si="11">+X6+Z6</f>
        <v>17842.5</v>
      </c>
      <c r="AB6" s="192">
        <f t="shared" ref="AB6" si="12">+$G6-AA6</f>
        <v>457.5</v>
      </c>
      <c r="AC6" s="190">
        <v>457.5</v>
      </c>
      <c r="AD6" s="191">
        <f t="shared" ref="AD6" si="13">+AA6+AC6</f>
        <v>18300</v>
      </c>
      <c r="AE6" s="192">
        <f t="shared" ref="AE6" si="14">+$G6-AD6</f>
        <v>0</v>
      </c>
      <c r="AF6" s="38"/>
      <c r="AG6" s="12"/>
      <c r="AH6" s="39"/>
      <c r="AI6" s="37"/>
      <c r="AJ6" s="40"/>
      <c r="AK6" s="40">
        <f>IF(AI6-J6&lt;0,0,AI6-J6)</f>
        <v>0</v>
      </c>
    </row>
    <row r="7" spans="1:37" x14ac:dyDescent="0.3">
      <c r="B7" s="41"/>
      <c r="F7" s="42"/>
      <c r="H7" s="37"/>
      <c r="I7" s="37"/>
      <c r="J7" s="37"/>
      <c r="AF7" s="38"/>
      <c r="AG7" s="12"/>
      <c r="AH7" s="39"/>
      <c r="AI7" s="37"/>
      <c r="AJ7" s="40"/>
      <c r="AK7" s="40"/>
    </row>
    <row r="9" spans="1:37" x14ac:dyDescent="0.3">
      <c r="B9" s="30">
        <v>0.2</v>
      </c>
      <c r="C9" s="22" t="s">
        <v>99</v>
      </c>
      <c r="G9" s="186">
        <v>1000</v>
      </c>
      <c r="H9" s="196">
        <f>+G9*$B$9</f>
        <v>200</v>
      </c>
      <c r="I9" s="197">
        <f>+H9</f>
        <v>200</v>
      </c>
      <c r="J9" s="198">
        <f>+G9-I9</f>
        <v>800</v>
      </c>
      <c r="K9" s="196">
        <f>+$G9*$B$9</f>
        <v>200</v>
      </c>
      <c r="L9" s="197">
        <f>+I9+K9</f>
        <v>400</v>
      </c>
      <c r="M9" s="198">
        <f>+$G9-L9</f>
        <v>600</v>
      </c>
      <c r="N9" s="196">
        <f>+$G9*$B$9</f>
        <v>200</v>
      </c>
      <c r="O9" s="197">
        <f>+L9+N9</f>
        <v>600</v>
      </c>
      <c r="P9" s="198">
        <f>+$G9-O9</f>
        <v>400</v>
      </c>
      <c r="Q9" s="196">
        <f>+$G9*$B$9</f>
        <v>200</v>
      </c>
      <c r="R9" s="197">
        <f>+O9+Q9</f>
        <v>800</v>
      </c>
      <c r="S9" s="198">
        <f>+$G9-R9</f>
        <v>200</v>
      </c>
      <c r="T9" s="196">
        <f>+$G9*$B$9</f>
        <v>200</v>
      </c>
      <c r="U9" s="197">
        <f>+R9+T9</f>
        <v>1000</v>
      </c>
      <c r="V9" s="198">
        <f>+$G9-U9</f>
        <v>0</v>
      </c>
      <c r="W9" s="37"/>
      <c r="X9" s="37"/>
      <c r="Y9" s="37"/>
      <c r="Z9" s="37"/>
      <c r="AA9" s="37"/>
      <c r="AB9" s="37"/>
      <c r="AC9" s="37"/>
      <c r="AD9" s="37"/>
      <c r="AE9" s="37"/>
    </row>
    <row r="10" spans="1:37" x14ac:dyDescent="0.3"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37" x14ac:dyDescent="0.3">
      <c r="G11" s="167">
        <f>SUBTOTAL(9,G12:G15)</f>
        <v>2100</v>
      </c>
      <c r="H11" s="7">
        <f>SUBTOTAL(9,H12:H15)</f>
        <v>210</v>
      </c>
      <c r="I11" s="7">
        <f t="shared" ref="I11:AE11" si="15">SUBTOTAL(9,I12:I15)</f>
        <v>210</v>
      </c>
      <c r="J11" s="7">
        <f t="shared" si="15"/>
        <v>1890</v>
      </c>
      <c r="K11" s="7">
        <f t="shared" si="15"/>
        <v>420</v>
      </c>
      <c r="L11" s="7">
        <f t="shared" si="15"/>
        <v>630</v>
      </c>
      <c r="M11" s="7">
        <f t="shared" si="15"/>
        <v>1470</v>
      </c>
      <c r="N11" s="7">
        <f t="shared" si="15"/>
        <v>420</v>
      </c>
      <c r="O11" s="7">
        <f t="shared" si="15"/>
        <v>1050</v>
      </c>
      <c r="P11" s="7">
        <f t="shared" si="15"/>
        <v>1050</v>
      </c>
      <c r="Q11" s="7">
        <f t="shared" si="15"/>
        <v>420</v>
      </c>
      <c r="R11" s="7">
        <f t="shared" si="15"/>
        <v>1470</v>
      </c>
      <c r="S11" s="7">
        <f t="shared" si="15"/>
        <v>630</v>
      </c>
      <c r="T11" s="7">
        <f t="shared" si="15"/>
        <v>420</v>
      </c>
      <c r="U11" s="7">
        <f t="shared" si="15"/>
        <v>1890</v>
      </c>
      <c r="V11" s="7">
        <f t="shared" si="15"/>
        <v>210</v>
      </c>
      <c r="W11" s="7">
        <f t="shared" si="15"/>
        <v>210</v>
      </c>
      <c r="X11" s="7">
        <f t="shared" si="15"/>
        <v>2100</v>
      </c>
      <c r="Y11" s="7">
        <f t="shared" si="15"/>
        <v>0</v>
      </c>
      <c r="Z11" s="7">
        <f t="shared" si="15"/>
        <v>0</v>
      </c>
      <c r="AA11" s="7">
        <f t="shared" si="15"/>
        <v>0</v>
      </c>
      <c r="AB11" s="7">
        <f t="shared" si="15"/>
        <v>0</v>
      </c>
      <c r="AC11" s="7">
        <f t="shared" si="15"/>
        <v>0</v>
      </c>
      <c r="AD11" s="7">
        <f t="shared" si="15"/>
        <v>0</v>
      </c>
      <c r="AE11" s="7">
        <f t="shared" si="15"/>
        <v>0</v>
      </c>
    </row>
    <row r="12" spans="1:37" x14ac:dyDescent="0.3">
      <c r="B12" s="30">
        <v>0.2</v>
      </c>
      <c r="C12" s="22" t="s">
        <v>426</v>
      </c>
      <c r="G12" s="186">
        <v>1000</v>
      </c>
      <c r="H12" s="187">
        <f>+G12*$B$12/2</f>
        <v>100</v>
      </c>
      <c r="I12" s="188">
        <f>+H12</f>
        <v>100</v>
      </c>
      <c r="J12" s="189">
        <f>+G12-I12</f>
        <v>900</v>
      </c>
      <c r="K12" s="187">
        <f>+$G12*$B$12</f>
        <v>200</v>
      </c>
      <c r="L12" s="188">
        <f>+I12+K12</f>
        <v>300</v>
      </c>
      <c r="M12" s="189">
        <f>+$G12-L12</f>
        <v>700</v>
      </c>
      <c r="N12" s="187">
        <f>+$G12*$B$12</f>
        <v>200</v>
      </c>
      <c r="O12" s="188">
        <f>+L12+N12</f>
        <v>500</v>
      </c>
      <c r="P12" s="189">
        <f>+$G12-O12</f>
        <v>500</v>
      </c>
      <c r="Q12" s="187">
        <f>+$G12*$B$12</f>
        <v>200</v>
      </c>
      <c r="R12" s="188">
        <f>+O12+Q12</f>
        <v>700</v>
      </c>
      <c r="S12" s="189">
        <f>+$G12-R12</f>
        <v>300</v>
      </c>
      <c r="T12" s="187">
        <f>+$G12*$B$12</f>
        <v>200</v>
      </c>
      <c r="U12" s="188">
        <f>+R12+T12</f>
        <v>900</v>
      </c>
      <c r="V12" s="189">
        <f>+$G12-U12</f>
        <v>100</v>
      </c>
      <c r="W12" s="187">
        <v>100</v>
      </c>
      <c r="X12" s="188">
        <f>+U12+W12</f>
        <v>1000</v>
      </c>
      <c r="Y12" s="189">
        <f>+$G12-X12</f>
        <v>0</v>
      </c>
      <c r="Z12" s="61"/>
      <c r="AA12" s="4"/>
      <c r="AB12" s="193"/>
      <c r="AC12" s="61"/>
      <c r="AD12" s="4"/>
      <c r="AE12" s="193"/>
    </row>
    <row r="13" spans="1:37" x14ac:dyDescent="0.3">
      <c r="B13" s="30">
        <v>0.2</v>
      </c>
      <c r="C13" s="22" t="s">
        <v>430</v>
      </c>
      <c r="G13" s="186">
        <v>350</v>
      </c>
      <c r="H13" s="187">
        <f>+G13*$B$12/2</f>
        <v>35</v>
      </c>
      <c r="I13" s="188">
        <f>+H13</f>
        <v>35</v>
      </c>
      <c r="J13" s="189">
        <f>+G13-I13</f>
        <v>315</v>
      </c>
      <c r="K13" s="187">
        <f>+$G13*$B$12</f>
        <v>70</v>
      </c>
      <c r="L13" s="188">
        <f>+I13+K13</f>
        <v>105</v>
      </c>
      <c r="M13" s="189">
        <f>+$G13-L13</f>
        <v>245</v>
      </c>
      <c r="N13" s="187">
        <f>+$G13*$B$12</f>
        <v>70</v>
      </c>
      <c r="O13" s="188">
        <f>+L13+N13</f>
        <v>175</v>
      </c>
      <c r="P13" s="189">
        <f>+$G13-O13</f>
        <v>175</v>
      </c>
      <c r="Q13" s="187">
        <f>+$G13*$B$12</f>
        <v>70</v>
      </c>
      <c r="R13" s="188">
        <f>+O13+Q13</f>
        <v>245</v>
      </c>
      <c r="S13" s="189">
        <f>+$G13-R13</f>
        <v>105</v>
      </c>
      <c r="T13" s="187">
        <f>+$G13*$B$12</f>
        <v>70</v>
      </c>
      <c r="U13" s="188">
        <f>+R13+T13</f>
        <v>315</v>
      </c>
      <c r="V13" s="189">
        <f>+$G13-U13</f>
        <v>35</v>
      </c>
      <c r="W13" s="187">
        <v>35</v>
      </c>
      <c r="X13" s="188">
        <f>+U13+W13</f>
        <v>350</v>
      </c>
      <c r="Y13" s="189">
        <f>+$G13-X13</f>
        <v>0</v>
      </c>
      <c r="Z13" s="61"/>
      <c r="AA13" s="4"/>
      <c r="AB13" s="193"/>
      <c r="AC13" s="61"/>
      <c r="AD13" s="4"/>
      <c r="AE13" s="193"/>
    </row>
    <row r="14" spans="1:37" x14ac:dyDescent="0.3">
      <c r="B14" s="30">
        <v>0.2</v>
      </c>
      <c r="C14" s="22" t="s">
        <v>431</v>
      </c>
      <c r="G14" s="186">
        <v>750</v>
      </c>
      <c r="H14" s="190">
        <f>+G14*$B$12/2</f>
        <v>75</v>
      </c>
      <c r="I14" s="191">
        <f>+H14</f>
        <v>75</v>
      </c>
      <c r="J14" s="192">
        <f>+G14-I14</f>
        <v>675</v>
      </c>
      <c r="K14" s="190">
        <f>+$G14*$B$12</f>
        <v>150</v>
      </c>
      <c r="L14" s="191">
        <f>+I14+K14</f>
        <v>225</v>
      </c>
      <c r="M14" s="192">
        <f>+$G14-L14</f>
        <v>525</v>
      </c>
      <c r="N14" s="190">
        <f>+$G14*$B$12</f>
        <v>150</v>
      </c>
      <c r="O14" s="191">
        <f>+L14+N14</f>
        <v>375</v>
      </c>
      <c r="P14" s="192">
        <f>+$G14-O14</f>
        <v>375</v>
      </c>
      <c r="Q14" s="190">
        <f>+$G14*$B$12</f>
        <v>150</v>
      </c>
      <c r="R14" s="191">
        <f>+O14+Q14</f>
        <v>525</v>
      </c>
      <c r="S14" s="192">
        <f>+$G14-R14</f>
        <v>225</v>
      </c>
      <c r="T14" s="190">
        <f>+$G14*$B$12</f>
        <v>150</v>
      </c>
      <c r="U14" s="191">
        <f>+R14+T14</f>
        <v>675</v>
      </c>
      <c r="V14" s="192">
        <f>+$G14-U14</f>
        <v>75</v>
      </c>
      <c r="W14" s="190">
        <v>75</v>
      </c>
      <c r="X14" s="191">
        <f>+U14+W14</f>
        <v>750</v>
      </c>
      <c r="Y14" s="192">
        <f>+$G14-X14</f>
        <v>0</v>
      </c>
      <c r="Z14" s="57"/>
      <c r="AA14" s="194"/>
      <c r="AB14" s="195"/>
      <c r="AC14" s="57"/>
      <c r="AD14" s="194"/>
      <c r="AE14" s="195"/>
    </row>
    <row r="17" spans="2:31" x14ac:dyDescent="0.3">
      <c r="B17" s="30">
        <v>0.25</v>
      </c>
      <c r="C17" s="22" t="s">
        <v>444</v>
      </c>
      <c r="G17" s="186">
        <v>1500</v>
      </c>
      <c r="H17" s="196">
        <f>+G17*$B$17/2</f>
        <v>187.5</v>
      </c>
      <c r="I17" s="197">
        <f>+H17</f>
        <v>187.5</v>
      </c>
      <c r="J17" s="198">
        <f>+G17-I17</f>
        <v>1312.5</v>
      </c>
      <c r="K17" s="196">
        <f>+$G17*$B$17</f>
        <v>375</v>
      </c>
      <c r="L17" s="197">
        <f>+I17+K17</f>
        <v>562.5</v>
      </c>
      <c r="M17" s="198">
        <f>+$G17-L17</f>
        <v>937.5</v>
      </c>
      <c r="N17" s="196">
        <f>+$G17*$B$17</f>
        <v>375</v>
      </c>
      <c r="O17" s="197">
        <f>+L17+N17</f>
        <v>937.5</v>
      </c>
      <c r="P17" s="198">
        <f>+$G17-O17</f>
        <v>562.5</v>
      </c>
      <c r="Q17" s="196">
        <f>+$G17*$B$17</f>
        <v>375</v>
      </c>
      <c r="R17" s="197">
        <f>+O17+Q17</f>
        <v>1312.5</v>
      </c>
      <c r="S17" s="198">
        <f>+$G17-R17</f>
        <v>187.5</v>
      </c>
      <c r="T17" s="196">
        <v>187.5</v>
      </c>
      <c r="U17" s="197">
        <f>+R17+T17</f>
        <v>1500</v>
      </c>
      <c r="V17" s="198">
        <f>+$G17-U17</f>
        <v>0</v>
      </c>
      <c r="W17" s="37"/>
      <c r="X17" s="37"/>
      <c r="Y17" s="37"/>
    </row>
    <row r="19" spans="2:31" x14ac:dyDescent="0.3">
      <c r="B19" s="30">
        <v>0.12</v>
      </c>
      <c r="C19" s="22" t="s">
        <v>477</v>
      </c>
      <c r="G19" s="186">
        <v>1200</v>
      </c>
      <c r="H19" s="196">
        <f>+G19*$B19/2</f>
        <v>72</v>
      </c>
      <c r="I19" s="197">
        <f>+H19</f>
        <v>72</v>
      </c>
      <c r="J19" s="198">
        <f>+G19-I19</f>
        <v>1128</v>
      </c>
      <c r="K19" s="196">
        <f>+$G19*$B19</f>
        <v>144</v>
      </c>
      <c r="L19" s="197">
        <f>+I19+K19</f>
        <v>216</v>
      </c>
      <c r="M19" s="198">
        <f>+$G19-L19</f>
        <v>984</v>
      </c>
      <c r="N19" s="196">
        <f>+$G19*$B19</f>
        <v>144</v>
      </c>
      <c r="O19" s="197">
        <f>+L19+N19</f>
        <v>360</v>
      </c>
      <c r="P19" s="198">
        <f>+$G19-O19</f>
        <v>840</v>
      </c>
      <c r="Q19" s="196">
        <f>+$G19*$B19</f>
        <v>144</v>
      </c>
      <c r="R19" s="197">
        <f>+O19+Q19</f>
        <v>504</v>
      </c>
      <c r="S19" s="198">
        <f>+$G19-R19</f>
        <v>696</v>
      </c>
      <c r="T19" s="196">
        <f>+$G19*$B19</f>
        <v>144</v>
      </c>
      <c r="U19" s="197">
        <f>+R19+T19</f>
        <v>648</v>
      </c>
      <c r="V19" s="198">
        <f>+$G19-U19</f>
        <v>552</v>
      </c>
      <c r="W19" s="196">
        <f>+$G19*$B19</f>
        <v>144</v>
      </c>
      <c r="X19" s="197">
        <f>+U19+W19</f>
        <v>792</v>
      </c>
      <c r="Y19" s="198">
        <f>+$G19-X19</f>
        <v>408</v>
      </c>
      <c r="Z19" s="196">
        <f>+$G19*$B19</f>
        <v>144</v>
      </c>
      <c r="AA19" s="197">
        <f>+X19+Z19</f>
        <v>936</v>
      </c>
      <c r="AB19" s="198">
        <f>+$G19-AA19</f>
        <v>264</v>
      </c>
      <c r="AC19" s="196">
        <f>+$G19*$B19</f>
        <v>144</v>
      </c>
      <c r="AD19" s="197">
        <f>+AA19+AC19</f>
        <v>1080</v>
      </c>
      <c r="AE19" s="198">
        <f>+$G19-AD19</f>
        <v>120</v>
      </c>
    </row>
  </sheetData>
  <mergeCells count="9">
    <mergeCell ref="Z3:AB3"/>
    <mergeCell ref="AF3:AK3"/>
    <mergeCell ref="AC3:AE3"/>
    <mergeCell ref="H3:J3"/>
    <mergeCell ref="K3:M3"/>
    <mergeCell ref="N3:P3"/>
    <mergeCell ref="Q3:S3"/>
    <mergeCell ref="T3:V3"/>
    <mergeCell ref="W3: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4AEDC-1288-4A8A-A556-16BB326D5583}">
  <sheetPr>
    <tabColor theme="9" tint="0.39997558519241921"/>
  </sheetPr>
  <dimension ref="A2:M119"/>
  <sheetViews>
    <sheetView topLeftCell="A62" zoomScale="110" zoomScaleNormal="110" workbookViewId="0">
      <selection activeCell="G42" sqref="G42"/>
    </sheetView>
  </sheetViews>
  <sheetFormatPr defaultRowHeight="14.4" x14ac:dyDescent="0.3"/>
  <cols>
    <col min="1" max="1" width="26.109375" customWidth="1"/>
    <col min="2" max="2" width="23.33203125" bestFit="1" customWidth="1"/>
    <col min="3" max="3" width="15.6640625" customWidth="1"/>
    <col min="4" max="4" width="14.6640625" customWidth="1"/>
    <col min="5" max="5" width="6.6640625" customWidth="1"/>
    <col min="6" max="6" width="3" bestFit="1" customWidth="1"/>
    <col min="7" max="7" width="10.44140625" customWidth="1"/>
    <col min="8" max="8" width="10.77734375" customWidth="1"/>
    <col min="9" max="10" width="11.77734375" bestFit="1" customWidth="1"/>
    <col min="11" max="11" width="10.77734375" bestFit="1" customWidth="1"/>
    <col min="12" max="13" width="11.77734375" bestFit="1" customWidth="1"/>
  </cols>
  <sheetData>
    <row r="2" spans="1:4" x14ac:dyDescent="0.3">
      <c r="C2" s="59" t="s">
        <v>46</v>
      </c>
      <c r="D2" s="59" t="s">
        <v>49</v>
      </c>
    </row>
    <row r="3" spans="1:4" x14ac:dyDescent="0.3">
      <c r="A3" s="225" t="s">
        <v>53</v>
      </c>
      <c r="B3" s="48" t="s">
        <v>51</v>
      </c>
      <c r="C3" s="49" t="s">
        <v>50</v>
      </c>
      <c r="D3" s="60">
        <v>2500</v>
      </c>
    </row>
    <row r="4" spans="1:4" x14ac:dyDescent="0.3">
      <c r="A4" s="225"/>
      <c r="B4" s="61" t="s">
        <v>8</v>
      </c>
      <c r="C4" s="54" t="s">
        <v>48</v>
      </c>
      <c r="D4" s="62">
        <v>0.9</v>
      </c>
    </row>
    <row r="5" spans="1:4" x14ac:dyDescent="0.3">
      <c r="A5" s="225"/>
      <c r="B5" s="61" t="s">
        <v>52</v>
      </c>
      <c r="C5" s="54"/>
      <c r="D5" s="62"/>
    </row>
    <row r="6" spans="1:4" x14ac:dyDescent="0.3">
      <c r="A6" s="225"/>
      <c r="B6" s="57" t="s">
        <v>52</v>
      </c>
      <c r="C6" s="58"/>
      <c r="D6" s="63"/>
    </row>
    <row r="7" spans="1:4" x14ac:dyDescent="0.3">
      <c r="C7" s="12"/>
    </row>
    <row r="8" spans="1:4" x14ac:dyDescent="0.3">
      <c r="C8" s="12"/>
    </row>
    <row r="9" spans="1:4" x14ac:dyDescent="0.3">
      <c r="A9" s="225" t="s">
        <v>54</v>
      </c>
      <c r="B9" s="48" t="s">
        <v>87</v>
      </c>
      <c r="C9" s="49" t="s">
        <v>47</v>
      </c>
      <c r="D9" s="50">
        <f>+D10*D11</f>
        <v>0.50772709939119998</v>
      </c>
    </row>
    <row r="10" spans="1:4" x14ac:dyDescent="0.3">
      <c r="A10" s="225"/>
      <c r="B10" s="56" t="s">
        <v>88</v>
      </c>
      <c r="C10" s="54" t="s">
        <v>47</v>
      </c>
      <c r="D10" s="51">
        <v>0.24986078</v>
      </c>
    </row>
    <row r="11" spans="1:4" x14ac:dyDescent="0.3">
      <c r="A11" s="225"/>
      <c r="B11" s="57" t="s">
        <v>89</v>
      </c>
      <c r="C11" s="58" t="s">
        <v>90</v>
      </c>
      <c r="D11" s="52">
        <v>2.0320399999999998</v>
      </c>
    </row>
    <row r="12" spans="1:4" x14ac:dyDescent="0.3">
      <c r="A12" s="225"/>
      <c r="B12" s="48" t="s">
        <v>393</v>
      </c>
      <c r="C12" s="49" t="s">
        <v>395</v>
      </c>
      <c r="D12" s="55">
        <v>6.7889999999999999E-3</v>
      </c>
    </row>
    <row r="13" spans="1:4" x14ac:dyDescent="0.3">
      <c r="A13" s="225"/>
      <c r="B13" s="61" t="s">
        <v>56</v>
      </c>
      <c r="C13" s="54" t="s">
        <v>55</v>
      </c>
      <c r="D13" s="64">
        <f>+B32/60</f>
        <v>0.15750000000000003</v>
      </c>
    </row>
    <row r="14" spans="1:4" x14ac:dyDescent="0.3">
      <c r="A14" s="225"/>
      <c r="B14" s="61" t="s">
        <v>59</v>
      </c>
      <c r="C14" s="54" t="s">
        <v>55</v>
      </c>
      <c r="D14" s="51">
        <f>+Ammortamenti!H2/D27</f>
        <v>5.8880308880308881E-2</v>
      </c>
    </row>
    <row r="15" spans="1:4" x14ac:dyDescent="0.3">
      <c r="A15" s="225"/>
      <c r="B15" s="61" t="s">
        <v>91</v>
      </c>
      <c r="C15" s="54" t="s">
        <v>92</v>
      </c>
      <c r="D15" s="51">
        <v>1.1153786109999999</v>
      </c>
    </row>
    <row r="16" spans="1:4" x14ac:dyDescent="0.3">
      <c r="A16" s="225"/>
      <c r="B16" s="61" t="s">
        <v>95</v>
      </c>
      <c r="C16" s="4" t="s">
        <v>96</v>
      </c>
      <c r="D16" s="51">
        <v>0</v>
      </c>
    </row>
    <row r="17" spans="1:4" x14ac:dyDescent="0.3">
      <c r="A17" s="225"/>
      <c r="B17" s="61" t="s">
        <v>97</v>
      </c>
      <c r="C17" s="49" t="s">
        <v>108</v>
      </c>
      <c r="D17" s="68">
        <f>+(350/19)/158.91</f>
        <v>0.11592129275425681</v>
      </c>
    </row>
    <row r="18" spans="1:4" x14ac:dyDescent="0.3">
      <c r="A18" s="225"/>
      <c r="B18" s="61" t="s">
        <v>100</v>
      </c>
      <c r="C18" s="4"/>
      <c r="D18" s="65"/>
    </row>
    <row r="19" spans="1:4" x14ac:dyDescent="0.3">
      <c r="A19" s="225"/>
      <c r="B19" s="70" t="s">
        <v>98</v>
      </c>
      <c r="C19" s="4"/>
      <c r="D19" s="4"/>
    </row>
    <row r="20" spans="1:4" x14ac:dyDescent="0.3">
      <c r="A20" s="225"/>
      <c r="B20" s="71" t="s">
        <v>113</v>
      </c>
      <c r="C20" s="72" t="s">
        <v>103</v>
      </c>
      <c r="D20" s="73">
        <v>150</v>
      </c>
    </row>
    <row r="21" spans="1:4" x14ac:dyDescent="0.3">
      <c r="A21" s="225"/>
      <c r="B21" s="230" t="s">
        <v>114</v>
      </c>
      <c r="C21" s="54" t="s">
        <v>109</v>
      </c>
      <c r="D21" s="64">
        <v>10</v>
      </c>
    </row>
    <row r="22" spans="1:4" x14ac:dyDescent="0.3">
      <c r="A22" s="225"/>
      <c r="B22" s="231"/>
      <c r="C22" s="54" t="s">
        <v>110</v>
      </c>
      <c r="D22" s="64">
        <v>4</v>
      </c>
    </row>
    <row r="23" spans="1:4" x14ac:dyDescent="0.3">
      <c r="A23" s="225"/>
      <c r="B23" s="232"/>
      <c r="C23" s="58" t="s">
        <v>125</v>
      </c>
      <c r="D23" s="69">
        <v>10</v>
      </c>
    </row>
    <row r="25" spans="1:4" x14ac:dyDescent="0.3">
      <c r="C25" s="12" t="s">
        <v>81</v>
      </c>
      <c r="D25" s="12" t="s">
        <v>82</v>
      </c>
    </row>
    <row r="26" spans="1:4" x14ac:dyDescent="0.3">
      <c r="C26" s="106">
        <v>7</v>
      </c>
      <c r="D26" s="106">
        <v>60</v>
      </c>
    </row>
    <row r="27" spans="1:4" x14ac:dyDescent="0.3">
      <c r="A27" s="12" t="s">
        <v>80</v>
      </c>
      <c r="B27" s="107">
        <v>222</v>
      </c>
      <c r="C27" s="107">
        <f>+C26*B27</f>
        <v>1554</v>
      </c>
      <c r="D27" s="107">
        <f>+D26*C27</f>
        <v>93240</v>
      </c>
    </row>
    <row r="28" spans="1:4" x14ac:dyDescent="0.3">
      <c r="A28" s="226" t="s">
        <v>150</v>
      </c>
    </row>
    <row r="29" spans="1:4" x14ac:dyDescent="0.3">
      <c r="A29" s="226"/>
      <c r="B29" s="233" t="s">
        <v>149</v>
      </c>
      <c r="C29" s="233"/>
      <c r="D29" s="43">
        <f>+B27/12</f>
        <v>18.5</v>
      </c>
    </row>
    <row r="30" spans="1:4" x14ac:dyDescent="0.3">
      <c r="A30" s="226"/>
      <c r="B30" s="233" t="s">
        <v>151</v>
      </c>
      <c r="C30" s="233"/>
      <c r="D30" s="43">
        <v>20</v>
      </c>
    </row>
    <row r="31" spans="1:4" x14ac:dyDescent="0.3">
      <c r="A31" s="94"/>
    </row>
    <row r="32" spans="1:4" ht="28.8" x14ac:dyDescent="0.3">
      <c r="A32" s="96" t="s">
        <v>126</v>
      </c>
      <c r="B32" s="101">
        <f>(9*210%)/2</f>
        <v>9.4500000000000011</v>
      </c>
    </row>
    <row r="34" spans="1:5" x14ac:dyDescent="0.3">
      <c r="A34" t="s">
        <v>84</v>
      </c>
    </row>
    <row r="35" spans="1:5" x14ac:dyDescent="0.3">
      <c r="A35" t="s">
        <v>85</v>
      </c>
    </row>
    <row r="36" spans="1:5" x14ac:dyDescent="0.3">
      <c r="A36" t="s">
        <v>86</v>
      </c>
    </row>
    <row r="38" spans="1:5" x14ac:dyDescent="0.3">
      <c r="D38" s="106" t="s">
        <v>443</v>
      </c>
    </row>
    <row r="39" spans="1:5" x14ac:dyDescent="0.3">
      <c r="A39" s="227" t="s">
        <v>104</v>
      </c>
      <c r="B39" s="184" t="s">
        <v>102</v>
      </c>
      <c r="C39" s="67" t="s">
        <v>129</v>
      </c>
      <c r="D39" s="99">
        <v>100</v>
      </c>
    </row>
    <row r="40" spans="1:5" x14ac:dyDescent="0.3">
      <c r="A40" s="228"/>
      <c r="B40" s="164" t="s">
        <v>434</v>
      </c>
      <c r="C40" s="22" t="s">
        <v>435</v>
      </c>
      <c r="D40" s="185">
        <f>+E40/12</f>
        <v>100</v>
      </c>
      <c r="E40">
        <v>1200</v>
      </c>
    </row>
    <row r="41" spans="1:5" x14ac:dyDescent="0.3">
      <c r="A41" s="228"/>
      <c r="B41" s="164" t="s">
        <v>101</v>
      </c>
      <c r="C41" s="22" t="s">
        <v>105</v>
      </c>
      <c r="D41" s="100">
        <v>700</v>
      </c>
    </row>
    <row r="42" spans="1:5" x14ac:dyDescent="0.3">
      <c r="A42" s="228"/>
      <c r="B42" s="164" t="s">
        <v>438</v>
      </c>
      <c r="C42" s="22" t="s">
        <v>129</v>
      </c>
      <c r="D42" s="100">
        <v>100</v>
      </c>
    </row>
    <row r="43" spans="1:5" x14ac:dyDescent="0.3">
      <c r="A43" s="228"/>
      <c r="B43" s="164" t="s">
        <v>439</v>
      </c>
      <c r="C43" s="22" t="s">
        <v>440</v>
      </c>
      <c r="D43" s="100">
        <v>10</v>
      </c>
    </row>
    <row r="44" spans="1:5" x14ac:dyDescent="0.3">
      <c r="A44" s="228"/>
      <c r="B44" s="164" t="s">
        <v>441</v>
      </c>
      <c r="C44" s="22" t="s">
        <v>442</v>
      </c>
      <c r="D44" s="185">
        <f>+E44/12</f>
        <v>125</v>
      </c>
      <c r="E44">
        <v>1500</v>
      </c>
    </row>
    <row r="45" spans="1:5" x14ac:dyDescent="0.3">
      <c r="A45" s="228"/>
      <c r="B45" s="164" t="s">
        <v>106</v>
      </c>
      <c r="C45" s="22" t="s">
        <v>136</v>
      </c>
      <c r="D45" s="100">
        <v>5000</v>
      </c>
    </row>
    <row r="46" spans="1:5" x14ac:dyDescent="0.3">
      <c r="A46" s="228"/>
      <c r="B46" s="164" t="s">
        <v>107</v>
      </c>
      <c r="C46" s="22" t="s">
        <v>141</v>
      </c>
      <c r="D46" s="100">
        <f>+D71/12</f>
        <v>4</v>
      </c>
    </row>
    <row r="47" spans="1:5" x14ac:dyDescent="0.3">
      <c r="A47" s="228"/>
      <c r="B47" s="164" t="s">
        <v>471</v>
      </c>
      <c r="C47" s="22" t="s">
        <v>472</v>
      </c>
      <c r="D47" s="185">
        <f>+E47/12</f>
        <v>141.66666666666666</v>
      </c>
      <c r="E47">
        <v>1700</v>
      </c>
    </row>
    <row r="48" spans="1:5" x14ac:dyDescent="0.3">
      <c r="A48" s="228"/>
      <c r="B48" s="164" t="s">
        <v>473</v>
      </c>
      <c r="C48" s="22" t="s">
        <v>474</v>
      </c>
      <c r="D48" s="100">
        <v>20</v>
      </c>
    </row>
    <row r="49" spans="1:5" x14ac:dyDescent="0.3">
      <c r="A49" s="228"/>
      <c r="B49" s="164" t="s">
        <v>268</v>
      </c>
      <c r="C49" s="22" t="s">
        <v>475</v>
      </c>
      <c r="D49" s="185">
        <f>+E49/12</f>
        <v>4.166666666666667</v>
      </c>
      <c r="E49">
        <v>50</v>
      </c>
    </row>
    <row r="50" spans="1:5" x14ac:dyDescent="0.3">
      <c r="A50" s="228"/>
      <c r="B50" s="164" t="s">
        <v>269</v>
      </c>
      <c r="C50" s="22" t="s">
        <v>476</v>
      </c>
      <c r="D50" s="185">
        <f>+E50/12</f>
        <v>20.833333333333332</v>
      </c>
      <c r="E50">
        <v>250</v>
      </c>
    </row>
    <row r="51" spans="1:5" x14ac:dyDescent="0.3">
      <c r="A51" s="228"/>
      <c r="B51" s="164" t="s">
        <v>270</v>
      </c>
      <c r="C51" s="22" t="s">
        <v>478</v>
      </c>
      <c r="D51" s="185">
        <f>+E51/12</f>
        <v>16.666666666666668</v>
      </c>
      <c r="E51">
        <v>200</v>
      </c>
    </row>
    <row r="52" spans="1:5" x14ac:dyDescent="0.3">
      <c r="A52" s="228"/>
      <c r="B52" s="164" t="s">
        <v>271</v>
      </c>
      <c r="C52" s="22"/>
      <c r="D52" s="100">
        <v>0</v>
      </c>
    </row>
    <row r="53" spans="1:5" x14ac:dyDescent="0.3">
      <c r="A53" s="228"/>
      <c r="B53" s="164" t="s">
        <v>272</v>
      </c>
      <c r="C53" s="22"/>
      <c r="D53" s="100">
        <v>0</v>
      </c>
    </row>
    <row r="54" spans="1:5" x14ac:dyDescent="0.3">
      <c r="A54" s="228"/>
      <c r="B54" s="164" t="s">
        <v>273</v>
      </c>
      <c r="C54" s="22"/>
      <c r="D54" s="100">
        <v>0</v>
      </c>
    </row>
    <row r="55" spans="1:5" x14ac:dyDescent="0.3">
      <c r="A55" s="228"/>
      <c r="B55" s="164" t="s">
        <v>274</v>
      </c>
      <c r="C55" s="22"/>
      <c r="D55" s="100">
        <v>0</v>
      </c>
    </row>
    <row r="56" spans="1:5" x14ac:dyDescent="0.3">
      <c r="A56" s="228"/>
      <c r="B56" s="164" t="s">
        <v>275</v>
      </c>
      <c r="C56" s="22"/>
      <c r="D56" s="100">
        <v>0</v>
      </c>
    </row>
    <row r="57" spans="1:5" x14ac:dyDescent="0.3">
      <c r="A57" s="228"/>
      <c r="B57" s="164" t="s">
        <v>276</v>
      </c>
      <c r="C57" s="22"/>
      <c r="D57" s="100">
        <v>0</v>
      </c>
    </row>
    <row r="58" spans="1:5" x14ac:dyDescent="0.3">
      <c r="A58" s="228"/>
      <c r="B58" s="164" t="s">
        <v>277</v>
      </c>
      <c r="C58" s="22"/>
      <c r="D58" s="100">
        <v>0</v>
      </c>
    </row>
    <row r="59" spans="1:5" x14ac:dyDescent="0.3">
      <c r="A59" s="228"/>
      <c r="B59" s="164" t="s">
        <v>278</v>
      </c>
      <c r="C59" s="22" t="s">
        <v>129</v>
      </c>
      <c r="D59" s="100">
        <v>100</v>
      </c>
    </row>
    <row r="60" spans="1:5" x14ac:dyDescent="0.3">
      <c r="A60" s="228"/>
      <c r="B60" s="164" t="s">
        <v>279</v>
      </c>
      <c r="C60" s="22" t="s">
        <v>479</v>
      </c>
      <c r="D60" s="100">
        <v>2000</v>
      </c>
    </row>
    <row r="61" spans="1:5" x14ac:dyDescent="0.3">
      <c r="A61" s="228"/>
      <c r="B61" s="164" t="s">
        <v>280</v>
      </c>
      <c r="C61" s="22"/>
      <c r="D61" s="100">
        <v>0</v>
      </c>
    </row>
    <row r="62" spans="1:5" x14ac:dyDescent="0.3">
      <c r="A62" s="228"/>
      <c r="B62" s="61"/>
      <c r="C62" s="22"/>
      <c r="D62" s="100"/>
    </row>
    <row r="63" spans="1:5" x14ac:dyDescent="0.3">
      <c r="A63" s="229"/>
      <c r="B63" s="57"/>
      <c r="C63" s="66"/>
      <c r="D63" s="63"/>
    </row>
    <row r="65" spans="1:13" x14ac:dyDescent="0.3">
      <c r="B65" s="43" t="s">
        <v>127</v>
      </c>
      <c r="C65" s="43" t="s">
        <v>128</v>
      </c>
    </row>
    <row r="66" spans="1:13" x14ac:dyDescent="0.3">
      <c r="C66" s="97">
        <f>+D30*8</f>
        <v>160</v>
      </c>
    </row>
    <row r="67" spans="1:13" ht="28.8" x14ac:dyDescent="0.3">
      <c r="A67" s="103" t="s">
        <v>126</v>
      </c>
      <c r="B67" s="104">
        <f>+B32</f>
        <v>9.4500000000000011</v>
      </c>
      <c r="C67" s="104">
        <f>+B67*C66</f>
        <v>1512.0000000000002</v>
      </c>
    </row>
    <row r="68" spans="1:13" x14ac:dyDescent="0.3">
      <c r="A68" s="94"/>
      <c r="B68" s="98"/>
      <c r="C68" s="98"/>
    </row>
    <row r="69" spans="1:13" x14ac:dyDescent="0.3">
      <c r="A69" s="94"/>
      <c r="B69" s="98"/>
      <c r="C69" s="98"/>
    </row>
    <row r="70" spans="1:13" x14ac:dyDescent="0.3">
      <c r="B70" s="12" t="s">
        <v>139</v>
      </c>
      <c r="C70" s="12" t="s">
        <v>140</v>
      </c>
      <c r="D70" s="12" t="s">
        <v>491</v>
      </c>
      <c r="J70" s="160">
        <f>+B71</f>
        <v>80000</v>
      </c>
    </row>
    <row r="71" spans="1:13" x14ac:dyDescent="0.3">
      <c r="A71" s="45" t="s">
        <v>138</v>
      </c>
      <c r="B71" s="102">
        <v>80000</v>
      </c>
      <c r="C71" s="202">
        <v>7</v>
      </c>
      <c r="D71" s="202">
        <v>48</v>
      </c>
      <c r="F71" s="161" t="s">
        <v>494</v>
      </c>
      <c r="G71" s="161" t="s">
        <v>493</v>
      </c>
      <c r="H71" s="161" t="s">
        <v>495</v>
      </c>
      <c r="I71" s="161" t="s">
        <v>496</v>
      </c>
      <c r="J71" s="161" t="s">
        <v>497</v>
      </c>
      <c r="K71" s="161" t="s">
        <v>502</v>
      </c>
      <c r="L71" s="161" t="s">
        <v>503</v>
      </c>
      <c r="M71" s="161" t="s">
        <v>504</v>
      </c>
    </row>
    <row r="72" spans="1:13" x14ac:dyDescent="0.3">
      <c r="E72" s="222" t="s">
        <v>498</v>
      </c>
      <c r="F72" s="4">
        <v>1</v>
      </c>
      <c r="G72" s="199">
        <f>+$B$73</f>
        <v>1915.7</v>
      </c>
      <c r="H72" s="203">
        <v>466.67</v>
      </c>
      <c r="I72" s="27">
        <f>+G72-H72</f>
        <v>1449.03</v>
      </c>
      <c r="J72" s="27">
        <f>+B71-I72</f>
        <v>78550.97</v>
      </c>
    </row>
    <row r="73" spans="1:13" x14ac:dyDescent="0.3">
      <c r="A73" t="s">
        <v>492</v>
      </c>
      <c r="B73" s="102">
        <v>1915.7</v>
      </c>
      <c r="E73" s="223"/>
      <c r="F73" s="4">
        <v>2</v>
      </c>
      <c r="G73" s="199">
        <f t="shared" ref="G73:G119" si="0">+$B$73</f>
        <v>1915.7</v>
      </c>
      <c r="H73" s="203">
        <v>458.21</v>
      </c>
      <c r="I73" s="27">
        <f t="shared" ref="I73:I119" si="1">+G73-H73</f>
        <v>1457.49</v>
      </c>
      <c r="J73" s="27">
        <f>+J72-I73</f>
        <v>77093.48</v>
      </c>
    </row>
    <row r="74" spans="1:13" x14ac:dyDescent="0.3">
      <c r="E74" s="223"/>
      <c r="F74" s="4">
        <v>3</v>
      </c>
      <c r="G74" s="199">
        <f t="shared" si="0"/>
        <v>1915.7</v>
      </c>
      <c r="H74" s="203">
        <v>449.71</v>
      </c>
      <c r="I74" s="27">
        <f t="shared" si="1"/>
        <v>1465.99</v>
      </c>
      <c r="J74" s="27">
        <f t="shared" ref="J74:J119" si="2">+J73-I74</f>
        <v>75627.489999999991</v>
      </c>
    </row>
    <row r="75" spans="1:13" x14ac:dyDescent="0.3">
      <c r="E75" s="223"/>
      <c r="F75" s="4">
        <v>4</v>
      </c>
      <c r="G75" s="199">
        <f t="shared" si="0"/>
        <v>1915.7</v>
      </c>
      <c r="H75" s="203">
        <v>441.16</v>
      </c>
      <c r="I75" s="27">
        <f t="shared" si="1"/>
        <v>1474.54</v>
      </c>
      <c r="J75" s="27">
        <f t="shared" si="2"/>
        <v>74152.95</v>
      </c>
    </row>
    <row r="76" spans="1:13" x14ac:dyDescent="0.3">
      <c r="E76" s="223"/>
      <c r="F76" s="4">
        <v>5</v>
      </c>
      <c r="G76" s="199">
        <f t="shared" si="0"/>
        <v>1915.7</v>
      </c>
      <c r="H76" s="203">
        <v>432.56</v>
      </c>
      <c r="I76" s="27">
        <f t="shared" si="1"/>
        <v>1483.14</v>
      </c>
      <c r="J76" s="27">
        <f t="shared" si="2"/>
        <v>72669.81</v>
      </c>
    </row>
    <row r="77" spans="1:13" x14ac:dyDescent="0.3">
      <c r="E77" s="223"/>
      <c r="F77" s="4">
        <v>6</v>
      </c>
      <c r="G77" s="199">
        <f t="shared" si="0"/>
        <v>1915.7</v>
      </c>
      <c r="H77" s="203">
        <v>423.91</v>
      </c>
      <c r="I77" s="27">
        <f t="shared" si="1"/>
        <v>1491.79</v>
      </c>
      <c r="J77" s="27">
        <f t="shared" si="2"/>
        <v>71178.02</v>
      </c>
    </row>
    <row r="78" spans="1:13" x14ac:dyDescent="0.3">
      <c r="E78" s="223"/>
      <c r="F78" s="4">
        <v>7</v>
      </c>
      <c r="G78" s="199">
        <f t="shared" si="0"/>
        <v>1915.7</v>
      </c>
      <c r="H78" s="203">
        <v>415.21</v>
      </c>
      <c r="I78" s="27">
        <f t="shared" si="1"/>
        <v>1500.49</v>
      </c>
      <c r="J78" s="27">
        <f t="shared" si="2"/>
        <v>69677.53</v>
      </c>
    </row>
    <row r="79" spans="1:13" x14ac:dyDescent="0.3">
      <c r="E79" s="223"/>
      <c r="F79" s="4">
        <v>8</v>
      </c>
      <c r="G79" s="199">
        <f t="shared" si="0"/>
        <v>1915.7</v>
      </c>
      <c r="H79" s="203">
        <v>406.45</v>
      </c>
      <c r="I79" s="27">
        <f t="shared" si="1"/>
        <v>1509.25</v>
      </c>
      <c r="J79" s="27">
        <f t="shared" si="2"/>
        <v>68168.28</v>
      </c>
    </row>
    <row r="80" spans="1:13" x14ac:dyDescent="0.3">
      <c r="E80" s="223"/>
      <c r="F80" s="4">
        <v>9</v>
      </c>
      <c r="G80" s="199">
        <f t="shared" si="0"/>
        <v>1915.7</v>
      </c>
      <c r="H80" s="203">
        <v>397.65</v>
      </c>
      <c r="I80" s="27">
        <f t="shared" si="1"/>
        <v>1518.0500000000002</v>
      </c>
      <c r="J80" s="27">
        <f t="shared" si="2"/>
        <v>66650.23</v>
      </c>
    </row>
    <row r="81" spans="5:13" x14ac:dyDescent="0.3">
      <c r="E81" s="223"/>
      <c r="F81" s="4">
        <v>10</v>
      </c>
      <c r="G81" s="199">
        <f t="shared" si="0"/>
        <v>1915.7</v>
      </c>
      <c r="H81" s="203">
        <v>388.79</v>
      </c>
      <c r="I81" s="27">
        <f t="shared" si="1"/>
        <v>1526.91</v>
      </c>
      <c r="J81" s="27">
        <f t="shared" si="2"/>
        <v>65123.319999999992</v>
      </c>
    </row>
    <row r="82" spans="5:13" x14ac:dyDescent="0.3">
      <c r="E82" s="223"/>
      <c r="F82" s="4">
        <v>11</v>
      </c>
      <c r="G82" s="199">
        <f t="shared" si="0"/>
        <v>1915.7</v>
      </c>
      <c r="H82" s="203">
        <v>379.89</v>
      </c>
      <c r="I82" s="27">
        <f t="shared" si="1"/>
        <v>1535.81</v>
      </c>
      <c r="J82" s="27">
        <f t="shared" si="2"/>
        <v>63587.509999999995</v>
      </c>
    </row>
    <row r="83" spans="5:13" x14ac:dyDescent="0.3">
      <c r="E83" s="224"/>
      <c r="F83" s="4">
        <v>12</v>
      </c>
      <c r="G83" s="199">
        <f t="shared" si="0"/>
        <v>1915.7</v>
      </c>
      <c r="H83" s="203">
        <v>370.93</v>
      </c>
      <c r="I83" s="27">
        <f t="shared" si="1"/>
        <v>1544.77</v>
      </c>
      <c r="J83" s="27">
        <f t="shared" si="2"/>
        <v>62042.74</v>
      </c>
      <c r="K83" s="160">
        <f>SUM(H72:H83)</f>
        <v>5031.1400000000003</v>
      </c>
      <c r="L83" s="160">
        <f>SUM(I72:I83)</f>
        <v>17957.260000000002</v>
      </c>
      <c r="M83" s="160">
        <f>+J70-L83</f>
        <v>62042.74</v>
      </c>
    </row>
    <row r="84" spans="5:13" x14ac:dyDescent="0.3">
      <c r="E84" s="222" t="s">
        <v>499</v>
      </c>
      <c r="F84" s="4">
        <v>13</v>
      </c>
      <c r="G84" s="199">
        <f t="shared" si="0"/>
        <v>1915.7</v>
      </c>
      <c r="H84" s="203">
        <v>361.92</v>
      </c>
      <c r="I84" s="27">
        <f t="shared" si="1"/>
        <v>1553.78</v>
      </c>
      <c r="J84" s="27">
        <f t="shared" si="2"/>
        <v>60488.959999999999</v>
      </c>
    </row>
    <row r="85" spans="5:13" x14ac:dyDescent="0.3">
      <c r="E85" s="223"/>
      <c r="F85" s="4">
        <v>14</v>
      </c>
      <c r="G85" s="199">
        <f t="shared" si="0"/>
        <v>1915.7</v>
      </c>
      <c r="H85" s="203">
        <v>352.85</v>
      </c>
      <c r="I85" s="27">
        <f t="shared" si="1"/>
        <v>1562.85</v>
      </c>
      <c r="J85" s="27">
        <f t="shared" si="2"/>
        <v>58926.11</v>
      </c>
    </row>
    <row r="86" spans="5:13" x14ac:dyDescent="0.3">
      <c r="E86" s="223"/>
      <c r="F86" s="4">
        <v>15</v>
      </c>
      <c r="G86" s="199">
        <f t="shared" si="0"/>
        <v>1915.7</v>
      </c>
      <c r="H86" s="203">
        <v>343.74</v>
      </c>
      <c r="I86" s="27">
        <f t="shared" si="1"/>
        <v>1571.96</v>
      </c>
      <c r="J86" s="27">
        <f t="shared" si="2"/>
        <v>57354.15</v>
      </c>
    </row>
    <row r="87" spans="5:13" x14ac:dyDescent="0.3">
      <c r="E87" s="223"/>
      <c r="F87" s="4">
        <v>16</v>
      </c>
      <c r="G87" s="199">
        <f t="shared" si="0"/>
        <v>1915.7</v>
      </c>
      <c r="H87" s="203">
        <v>334.57</v>
      </c>
      <c r="I87" s="27">
        <f t="shared" si="1"/>
        <v>1581.13</v>
      </c>
      <c r="J87" s="27">
        <f t="shared" si="2"/>
        <v>55773.020000000004</v>
      </c>
    </row>
    <row r="88" spans="5:13" x14ac:dyDescent="0.3">
      <c r="E88" s="223"/>
      <c r="F88" s="4">
        <v>17</v>
      </c>
      <c r="G88" s="199">
        <f t="shared" si="0"/>
        <v>1915.7</v>
      </c>
      <c r="H88" s="203">
        <v>325.33999999999997</v>
      </c>
      <c r="I88" s="27">
        <f t="shared" si="1"/>
        <v>1590.3600000000001</v>
      </c>
      <c r="J88" s="27">
        <f t="shared" si="2"/>
        <v>54182.66</v>
      </c>
    </row>
    <row r="89" spans="5:13" x14ac:dyDescent="0.3">
      <c r="E89" s="223"/>
      <c r="F89" s="4">
        <v>18</v>
      </c>
      <c r="G89" s="199">
        <f t="shared" si="0"/>
        <v>1915.7</v>
      </c>
      <c r="H89" s="203">
        <v>316.07</v>
      </c>
      <c r="I89" s="27">
        <f t="shared" si="1"/>
        <v>1599.63</v>
      </c>
      <c r="J89" s="27">
        <f t="shared" si="2"/>
        <v>52583.030000000006</v>
      </c>
    </row>
    <row r="90" spans="5:13" x14ac:dyDescent="0.3">
      <c r="E90" s="223"/>
      <c r="F90" s="4">
        <v>19</v>
      </c>
      <c r="G90" s="199">
        <f t="shared" si="0"/>
        <v>1915.7</v>
      </c>
      <c r="H90" s="203">
        <v>306.73</v>
      </c>
      <c r="I90" s="27">
        <f t="shared" si="1"/>
        <v>1608.97</v>
      </c>
      <c r="J90" s="27">
        <f t="shared" si="2"/>
        <v>50974.060000000005</v>
      </c>
    </row>
    <row r="91" spans="5:13" x14ac:dyDescent="0.3">
      <c r="E91" s="223"/>
      <c r="F91" s="4">
        <v>20</v>
      </c>
      <c r="G91" s="199">
        <f t="shared" si="0"/>
        <v>1915.7</v>
      </c>
      <c r="H91" s="203">
        <v>297.35000000000002</v>
      </c>
      <c r="I91" s="27">
        <f t="shared" si="1"/>
        <v>1618.35</v>
      </c>
      <c r="J91" s="27">
        <f t="shared" si="2"/>
        <v>49355.710000000006</v>
      </c>
    </row>
    <row r="92" spans="5:13" x14ac:dyDescent="0.3">
      <c r="E92" s="223"/>
      <c r="F92" s="4">
        <v>21</v>
      </c>
      <c r="G92" s="199">
        <f t="shared" si="0"/>
        <v>1915.7</v>
      </c>
      <c r="H92" s="203">
        <v>287.91000000000003</v>
      </c>
      <c r="I92" s="27">
        <f t="shared" si="1"/>
        <v>1627.79</v>
      </c>
      <c r="J92" s="27">
        <f t="shared" si="2"/>
        <v>47727.920000000006</v>
      </c>
    </row>
    <row r="93" spans="5:13" x14ac:dyDescent="0.3">
      <c r="E93" s="223"/>
      <c r="F93" s="4">
        <v>22</v>
      </c>
      <c r="G93" s="199">
        <f t="shared" si="0"/>
        <v>1915.7</v>
      </c>
      <c r="H93" s="203">
        <v>278.41000000000003</v>
      </c>
      <c r="I93" s="27">
        <f t="shared" si="1"/>
        <v>1637.29</v>
      </c>
      <c r="J93" s="27">
        <f t="shared" si="2"/>
        <v>46090.630000000005</v>
      </c>
    </row>
    <row r="94" spans="5:13" x14ac:dyDescent="0.3">
      <c r="E94" s="223"/>
      <c r="F94" s="4">
        <v>23</v>
      </c>
      <c r="G94" s="199">
        <f t="shared" si="0"/>
        <v>1915.7</v>
      </c>
      <c r="H94" s="203">
        <v>268.86</v>
      </c>
      <c r="I94" s="27">
        <f t="shared" si="1"/>
        <v>1646.8400000000001</v>
      </c>
      <c r="J94" s="27">
        <f t="shared" si="2"/>
        <v>44443.790000000008</v>
      </c>
    </row>
    <row r="95" spans="5:13" x14ac:dyDescent="0.3">
      <c r="E95" s="224"/>
      <c r="F95" s="4">
        <v>24</v>
      </c>
      <c r="G95" s="199">
        <f t="shared" si="0"/>
        <v>1915.7</v>
      </c>
      <c r="H95" s="203">
        <v>259.26</v>
      </c>
      <c r="I95" s="27">
        <f t="shared" si="1"/>
        <v>1656.44</v>
      </c>
      <c r="J95" s="27">
        <f t="shared" si="2"/>
        <v>42787.350000000006</v>
      </c>
      <c r="K95" s="160">
        <f>SUM(H84:H95)</f>
        <v>3733.0099999999993</v>
      </c>
      <c r="L95" s="160">
        <f>SUM(I84:I95)</f>
        <v>19255.39</v>
      </c>
      <c r="M95" s="160">
        <f>+M83-L95</f>
        <v>42787.35</v>
      </c>
    </row>
    <row r="96" spans="5:13" ht="14.4" customHeight="1" x14ac:dyDescent="0.3">
      <c r="E96" s="222" t="s">
        <v>500</v>
      </c>
      <c r="F96" s="4">
        <v>25</v>
      </c>
      <c r="G96" s="199">
        <f t="shared" si="0"/>
        <v>1915.7</v>
      </c>
      <c r="H96" s="203">
        <v>249.59</v>
      </c>
      <c r="I96" s="27">
        <f t="shared" si="1"/>
        <v>1666.1100000000001</v>
      </c>
      <c r="J96" s="27">
        <f t="shared" si="2"/>
        <v>41121.240000000005</v>
      </c>
    </row>
    <row r="97" spans="5:13" x14ac:dyDescent="0.3">
      <c r="E97" s="223"/>
      <c r="F97" s="4">
        <v>26</v>
      </c>
      <c r="G97" s="199">
        <f t="shared" si="0"/>
        <v>1915.7</v>
      </c>
      <c r="H97" s="203">
        <v>239.87</v>
      </c>
      <c r="I97" s="27">
        <f t="shared" si="1"/>
        <v>1675.83</v>
      </c>
      <c r="J97" s="27">
        <f t="shared" si="2"/>
        <v>39445.410000000003</v>
      </c>
    </row>
    <row r="98" spans="5:13" x14ac:dyDescent="0.3">
      <c r="E98" s="223"/>
      <c r="F98" s="4">
        <v>27</v>
      </c>
      <c r="G98" s="199">
        <f t="shared" si="0"/>
        <v>1915.7</v>
      </c>
      <c r="H98" s="203">
        <v>230.1</v>
      </c>
      <c r="I98" s="27">
        <f t="shared" si="1"/>
        <v>1685.6000000000001</v>
      </c>
      <c r="J98" s="27">
        <f t="shared" si="2"/>
        <v>37759.810000000005</v>
      </c>
    </row>
    <row r="99" spans="5:13" x14ac:dyDescent="0.3">
      <c r="E99" s="223"/>
      <c r="F99" s="4">
        <v>28</v>
      </c>
      <c r="G99" s="199">
        <f t="shared" si="0"/>
        <v>1915.7</v>
      </c>
      <c r="H99" s="203">
        <v>220.27</v>
      </c>
      <c r="I99" s="27">
        <f t="shared" si="1"/>
        <v>1695.43</v>
      </c>
      <c r="J99" s="27">
        <f t="shared" si="2"/>
        <v>36064.380000000005</v>
      </c>
    </row>
    <row r="100" spans="5:13" x14ac:dyDescent="0.3">
      <c r="E100" s="223"/>
      <c r="F100" s="4">
        <v>29</v>
      </c>
      <c r="G100" s="199">
        <f t="shared" si="0"/>
        <v>1915.7</v>
      </c>
      <c r="H100" s="203">
        <v>210.38</v>
      </c>
      <c r="I100" s="27">
        <f t="shared" si="1"/>
        <v>1705.3200000000002</v>
      </c>
      <c r="J100" s="27">
        <f t="shared" si="2"/>
        <v>34359.060000000005</v>
      </c>
    </row>
    <row r="101" spans="5:13" x14ac:dyDescent="0.3">
      <c r="E101" s="223"/>
      <c r="F101" s="4">
        <v>30</v>
      </c>
      <c r="G101" s="199">
        <f t="shared" si="0"/>
        <v>1915.7</v>
      </c>
      <c r="H101" s="203">
        <v>200.43</v>
      </c>
      <c r="I101" s="27">
        <f t="shared" si="1"/>
        <v>1715.27</v>
      </c>
      <c r="J101" s="27">
        <f t="shared" si="2"/>
        <v>32643.790000000005</v>
      </c>
    </row>
    <row r="102" spans="5:13" x14ac:dyDescent="0.3">
      <c r="E102" s="223"/>
      <c r="F102" s="4">
        <v>31</v>
      </c>
      <c r="G102" s="199">
        <f t="shared" si="0"/>
        <v>1915.7</v>
      </c>
      <c r="H102" s="203">
        <v>190.42</v>
      </c>
      <c r="I102" s="27">
        <f t="shared" si="1"/>
        <v>1725.28</v>
      </c>
      <c r="J102" s="27">
        <f t="shared" si="2"/>
        <v>30918.510000000006</v>
      </c>
    </row>
    <row r="103" spans="5:13" x14ac:dyDescent="0.3">
      <c r="E103" s="223"/>
      <c r="F103" s="4">
        <v>32</v>
      </c>
      <c r="G103" s="199">
        <f t="shared" si="0"/>
        <v>1915.7</v>
      </c>
      <c r="H103" s="203">
        <v>180.36</v>
      </c>
      <c r="I103" s="27">
        <f t="shared" si="1"/>
        <v>1735.3400000000001</v>
      </c>
      <c r="J103" s="27">
        <f t="shared" si="2"/>
        <v>29183.170000000006</v>
      </c>
    </row>
    <row r="104" spans="5:13" x14ac:dyDescent="0.3">
      <c r="E104" s="223"/>
      <c r="F104" s="4">
        <v>33</v>
      </c>
      <c r="G104" s="199">
        <f t="shared" si="0"/>
        <v>1915.7</v>
      </c>
      <c r="H104" s="203">
        <v>170.24</v>
      </c>
      <c r="I104" s="27">
        <f t="shared" si="1"/>
        <v>1745.46</v>
      </c>
      <c r="J104" s="27">
        <f t="shared" si="2"/>
        <v>27437.710000000006</v>
      </c>
    </row>
    <row r="105" spans="5:13" x14ac:dyDescent="0.3">
      <c r="E105" s="223"/>
      <c r="F105" s="4">
        <v>34</v>
      </c>
      <c r="G105" s="199">
        <f t="shared" si="0"/>
        <v>1915.7</v>
      </c>
      <c r="H105" s="203">
        <v>160.05000000000001</v>
      </c>
      <c r="I105" s="27">
        <f t="shared" si="1"/>
        <v>1755.65</v>
      </c>
      <c r="J105" s="27">
        <f t="shared" si="2"/>
        <v>25682.060000000005</v>
      </c>
    </row>
    <row r="106" spans="5:13" x14ac:dyDescent="0.3">
      <c r="E106" s="223"/>
      <c r="F106" s="4">
        <v>35</v>
      </c>
      <c r="G106" s="199">
        <f t="shared" si="0"/>
        <v>1915.7</v>
      </c>
      <c r="H106" s="203">
        <v>149.81</v>
      </c>
      <c r="I106" s="27">
        <f t="shared" si="1"/>
        <v>1765.89</v>
      </c>
      <c r="J106" s="27">
        <f t="shared" si="2"/>
        <v>23916.170000000006</v>
      </c>
    </row>
    <row r="107" spans="5:13" x14ac:dyDescent="0.3">
      <c r="E107" s="224"/>
      <c r="F107" s="4">
        <v>36</v>
      </c>
      <c r="G107" s="199">
        <f t="shared" si="0"/>
        <v>1915.7</v>
      </c>
      <c r="H107" s="203">
        <v>139.51</v>
      </c>
      <c r="I107" s="27">
        <f t="shared" si="1"/>
        <v>1776.19</v>
      </c>
      <c r="J107" s="27">
        <f t="shared" si="2"/>
        <v>22139.980000000007</v>
      </c>
      <c r="K107" s="160">
        <f>SUM(H96:H107)</f>
        <v>2341.0299999999997</v>
      </c>
      <c r="L107" s="160">
        <f>SUM(I96:I107)</f>
        <v>20647.370000000003</v>
      </c>
      <c r="M107" s="160">
        <f>+M95-L107</f>
        <v>22139.979999999996</v>
      </c>
    </row>
    <row r="108" spans="5:13" x14ac:dyDescent="0.3">
      <c r="E108" s="222" t="s">
        <v>501</v>
      </c>
      <c r="F108" s="4">
        <v>37</v>
      </c>
      <c r="G108" s="199">
        <f t="shared" si="0"/>
        <v>1915.7</v>
      </c>
      <c r="H108" s="203">
        <v>129.15</v>
      </c>
      <c r="I108" s="27">
        <f t="shared" si="1"/>
        <v>1786.55</v>
      </c>
      <c r="J108" s="27">
        <f t="shared" si="2"/>
        <v>20353.430000000008</v>
      </c>
    </row>
    <row r="109" spans="5:13" x14ac:dyDescent="0.3">
      <c r="E109" s="223"/>
      <c r="F109" s="4">
        <v>38</v>
      </c>
      <c r="G109" s="199">
        <f t="shared" si="0"/>
        <v>1915.7</v>
      </c>
      <c r="H109" s="203">
        <v>118.73</v>
      </c>
      <c r="I109" s="27">
        <f t="shared" si="1"/>
        <v>1796.97</v>
      </c>
      <c r="J109" s="27">
        <f t="shared" si="2"/>
        <v>18556.460000000006</v>
      </c>
    </row>
    <row r="110" spans="5:13" x14ac:dyDescent="0.3">
      <c r="E110" s="223"/>
      <c r="F110" s="4">
        <v>39</v>
      </c>
      <c r="G110" s="199">
        <f t="shared" si="0"/>
        <v>1915.7</v>
      </c>
      <c r="H110" s="203">
        <v>108.25</v>
      </c>
      <c r="I110" s="27">
        <f t="shared" si="1"/>
        <v>1807.45</v>
      </c>
      <c r="J110" s="27">
        <f t="shared" si="2"/>
        <v>16749.010000000006</v>
      </c>
    </row>
    <row r="111" spans="5:13" x14ac:dyDescent="0.3">
      <c r="E111" s="223"/>
      <c r="F111" s="4">
        <v>40</v>
      </c>
      <c r="G111" s="199">
        <f t="shared" si="0"/>
        <v>1915.7</v>
      </c>
      <c r="H111" s="203">
        <v>97.7</v>
      </c>
      <c r="I111" s="27">
        <f t="shared" si="1"/>
        <v>1818</v>
      </c>
      <c r="J111" s="27">
        <f t="shared" si="2"/>
        <v>14931.010000000006</v>
      </c>
    </row>
    <row r="112" spans="5:13" x14ac:dyDescent="0.3">
      <c r="E112" s="223"/>
      <c r="F112" s="4">
        <v>41</v>
      </c>
      <c r="G112" s="199">
        <f t="shared" si="0"/>
        <v>1915.7</v>
      </c>
      <c r="H112" s="203">
        <v>87.1</v>
      </c>
      <c r="I112" s="27">
        <f t="shared" si="1"/>
        <v>1828.6000000000001</v>
      </c>
      <c r="J112" s="27">
        <f t="shared" si="2"/>
        <v>13102.410000000005</v>
      </c>
    </row>
    <row r="113" spans="5:13" x14ac:dyDescent="0.3">
      <c r="E113" s="223"/>
      <c r="F113" s="4">
        <v>42</v>
      </c>
      <c r="G113" s="199">
        <f t="shared" si="0"/>
        <v>1915.7</v>
      </c>
      <c r="H113" s="203">
        <v>76.430000000000007</v>
      </c>
      <c r="I113" s="27">
        <f t="shared" si="1"/>
        <v>1839.27</v>
      </c>
      <c r="J113" s="27">
        <f t="shared" si="2"/>
        <v>11263.140000000005</v>
      </c>
    </row>
    <row r="114" spans="5:13" x14ac:dyDescent="0.3">
      <c r="E114" s="223"/>
      <c r="F114" s="4">
        <v>43</v>
      </c>
      <c r="G114" s="199">
        <f t="shared" si="0"/>
        <v>1915.7</v>
      </c>
      <c r="H114" s="203">
        <v>65.7</v>
      </c>
      <c r="I114" s="27">
        <f t="shared" si="1"/>
        <v>1850</v>
      </c>
      <c r="J114" s="27">
        <f t="shared" si="2"/>
        <v>9413.1400000000049</v>
      </c>
    </row>
    <row r="115" spans="5:13" x14ac:dyDescent="0.3">
      <c r="E115" s="223"/>
      <c r="F115" s="4">
        <v>44</v>
      </c>
      <c r="G115" s="199">
        <f t="shared" si="0"/>
        <v>1915.7</v>
      </c>
      <c r="H115" s="203">
        <v>54.91</v>
      </c>
      <c r="I115" s="27">
        <f t="shared" si="1"/>
        <v>1860.79</v>
      </c>
      <c r="J115" s="27">
        <f t="shared" si="2"/>
        <v>7552.3500000000049</v>
      </c>
    </row>
    <row r="116" spans="5:13" x14ac:dyDescent="0.3">
      <c r="E116" s="223"/>
      <c r="F116" s="4">
        <v>45</v>
      </c>
      <c r="G116" s="199">
        <f t="shared" si="0"/>
        <v>1915.7</v>
      </c>
      <c r="H116" s="203">
        <v>44.06</v>
      </c>
      <c r="I116" s="27">
        <f t="shared" si="1"/>
        <v>1871.64</v>
      </c>
      <c r="J116" s="27">
        <f t="shared" si="2"/>
        <v>5680.7100000000046</v>
      </c>
    </row>
    <row r="117" spans="5:13" x14ac:dyDescent="0.3">
      <c r="E117" s="223"/>
      <c r="F117" s="4">
        <v>46</v>
      </c>
      <c r="G117" s="199">
        <f t="shared" si="0"/>
        <v>1915.7</v>
      </c>
      <c r="H117" s="203">
        <v>33.14</v>
      </c>
      <c r="I117" s="27">
        <f t="shared" si="1"/>
        <v>1882.56</v>
      </c>
      <c r="J117" s="27">
        <f t="shared" si="2"/>
        <v>3798.1500000000046</v>
      </c>
    </row>
    <row r="118" spans="5:13" x14ac:dyDescent="0.3">
      <c r="E118" s="223"/>
      <c r="F118" s="4">
        <v>47</v>
      </c>
      <c r="G118" s="199">
        <f t="shared" si="0"/>
        <v>1915.7</v>
      </c>
      <c r="H118" s="203">
        <v>22.16</v>
      </c>
      <c r="I118" s="27">
        <f t="shared" si="1"/>
        <v>1893.54</v>
      </c>
      <c r="J118" s="27">
        <f t="shared" si="2"/>
        <v>1904.6100000000047</v>
      </c>
    </row>
    <row r="119" spans="5:13" x14ac:dyDescent="0.3">
      <c r="E119" s="224"/>
      <c r="F119" s="4">
        <v>48</v>
      </c>
      <c r="G119" s="199">
        <f t="shared" si="0"/>
        <v>1915.7</v>
      </c>
      <c r="H119" s="203">
        <v>11.11</v>
      </c>
      <c r="I119" s="27">
        <f t="shared" si="1"/>
        <v>1904.5900000000001</v>
      </c>
      <c r="J119" s="27">
        <f t="shared" si="2"/>
        <v>2.0000000004529284E-2</v>
      </c>
      <c r="K119" s="160">
        <f>SUM(H108:H119)</f>
        <v>848.43999999999994</v>
      </c>
      <c r="L119" s="160">
        <f>SUM(I108:I119)</f>
        <v>22139.960000000003</v>
      </c>
      <c r="M119" s="160">
        <f>+M107-L119</f>
        <v>1.99999999931606E-2</v>
      </c>
    </row>
  </sheetData>
  <mergeCells count="11">
    <mergeCell ref="E72:E83"/>
    <mergeCell ref="E84:E95"/>
    <mergeCell ref="E96:E107"/>
    <mergeCell ref="E108:E119"/>
    <mergeCell ref="A3:A6"/>
    <mergeCell ref="A9:A23"/>
    <mergeCell ref="A28:A30"/>
    <mergeCell ref="A39:A63"/>
    <mergeCell ref="B21:B23"/>
    <mergeCell ref="B29:C29"/>
    <mergeCell ref="B30:C3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18C06-B175-4F45-8FD5-358F1877E83A}">
  <sheetPr>
    <tabColor theme="9" tint="0.39997558519241921"/>
  </sheetPr>
  <dimension ref="A3:O48"/>
  <sheetViews>
    <sheetView topLeftCell="B1" workbookViewId="0">
      <selection activeCell="C10" sqref="C10"/>
    </sheetView>
  </sheetViews>
  <sheetFormatPr defaultRowHeight="14.4" x14ac:dyDescent="0.3"/>
  <cols>
    <col min="2" max="2" width="25.109375" bestFit="1" customWidth="1"/>
    <col min="3" max="3" width="13.88671875" customWidth="1"/>
    <col min="4" max="4" width="12.77734375" customWidth="1"/>
    <col min="7" max="7" width="15.77734375" bestFit="1" customWidth="1"/>
    <col min="8" max="8" width="11.77734375" bestFit="1" customWidth="1"/>
    <col min="9" max="9" width="8.33203125" bestFit="1" customWidth="1"/>
    <col min="10" max="10" width="8.5546875" bestFit="1" customWidth="1"/>
    <col min="11" max="12" width="8" bestFit="1" customWidth="1"/>
    <col min="15" max="15" width="10.77734375" bestFit="1" customWidth="1"/>
    <col min="22" max="22" width="10.77734375" bestFit="1" customWidth="1"/>
    <col min="25" max="25" width="10.77734375" bestFit="1" customWidth="1"/>
  </cols>
  <sheetData>
    <row r="3" spans="2:12" x14ac:dyDescent="0.3">
      <c r="C3" s="234" t="s">
        <v>148</v>
      </c>
      <c r="D3" s="235"/>
      <c r="H3" s="160">
        <f>SUBTOTAL(9,C31:C56)</f>
        <v>8500</v>
      </c>
      <c r="I3" s="160">
        <f>SUBTOTAL(9,D31:D56)</f>
        <v>8320</v>
      </c>
    </row>
    <row r="4" spans="2:12" x14ac:dyDescent="0.3">
      <c r="B4" s="1" t="s">
        <v>0</v>
      </c>
      <c r="C4" s="1" t="s">
        <v>146</v>
      </c>
      <c r="D4" s="1" t="s">
        <v>147</v>
      </c>
      <c r="G4" s="1" t="s">
        <v>144</v>
      </c>
      <c r="H4" s="1" t="s">
        <v>146</v>
      </c>
      <c r="I4" s="1" t="s">
        <v>147</v>
      </c>
      <c r="J4" s="1" t="s">
        <v>397</v>
      </c>
      <c r="K4" s="1" t="s">
        <v>45</v>
      </c>
      <c r="L4" s="1" t="s">
        <v>398</v>
      </c>
    </row>
    <row r="5" spans="2:12" x14ac:dyDescent="0.3">
      <c r="B5" s="110" t="str">
        <f>+'Finished goods'!A5</f>
        <v>Tavolo twist Logo</v>
      </c>
      <c r="C5" s="89">
        <v>800</v>
      </c>
      <c r="D5" s="89">
        <v>1200</v>
      </c>
      <c r="F5" s="43" t="s">
        <v>447</v>
      </c>
      <c r="G5" t="s">
        <v>396</v>
      </c>
      <c r="H5" s="105">
        <f>+J5*K5*L5</f>
        <v>2398.9</v>
      </c>
      <c r="J5" s="89">
        <v>29.8</v>
      </c>
      <c r="K5" s="162">
        <v>3.5</v>
      </c>
      <c r="L5" s="163">
        <v>23</v>
      </c>
    </row>
    <row r="6" spans="2:12" x14ac:dyDescent="0.3">
      <c r="B6" s="111" t="str">
        <f>+'Finished goods'!A6</f>
        <v xml:space="preserve">Vaso bitorzolo curvo </v>
      </c>
      <c r="C6" s="89">
        <v>250</v>
      </c>
      <c r="D6" s="89">
        <v>350</v>
      </c>
      <c r="F6" s="43" t="s">
        <v>448</v>
      </c>
      <c r="H6" s="105">
        <f t="shared" ref="H6:H16" si="0">+J6*K6*L6</f>
        <v>2398.9</v>
      </c>
      <c r="J6" s="89">
        <v>29.8</v>
      </c>
      <c r="K6" s="162">
        <v>3.5</v>
      </c>
      <c r="L6" s="163">
        <v>23</v>
      </c>
    </row>
    <row r="7" spans="2:12" x14ac:dyDescent="0.3">
      <c r="B7" s="111" t="str">
        <f>+'Finished goods'!A7</f>
        <v>Vaso bitorzolo twist</v>
      </c>
      <c r="C7" s="89">
        <v>250</v>
      </c>
      <c r="D7" s="89">
        <v>350</v>
      </c>
      <c r="F7" s="43" t="s">
        <v>449</v>
      </c>
      <c r="H7" s="105">
        <f t="shared" si="0"/>
        <v>2398.9</v>
      </c>
      <c r="J7" s="89">
        <v>29.8</v>
      </c>
      <c r="K7" s="162">
        <v>3.5</v>
      </c>
      <c r="L7" s="163">
        <v>23</v>
      </c>
    </row>
    <row r="8" spans="2:12" x14ac:dyDescent="0.3">
      <c r="B8" s="111" t="str">
        <f>+'Finished goods'!A8</f>
        <v>Vaso bitorzolo dritto</v>
      </c>
      <c r="C8" s="89">
        <v>250</v>
      </c>
      <c r="D8" s="89">
        <v>350</v>
      </c>
      <c r="F8" s="43" t="s">
        <v>450</v>
      </c>
      <c r="H8" s="105">
        <f t="shared" si="0"/>
        <v>2398.9</v>
      </c>
      <c r="J8" s="89">
        <v>29.8</v>
      </c>
      <c r="K8" s="162">
        <v>3.5</v>
      </c>
      <c r="L8" s="163">
        <v>23</v>
      </c>
    </row>
    <row r="9" spans="2:12" x14ac:dyDescent="0.3">
      <c r="B9" s="111" t="str">
        <f>+'Finished goods'!A9</f>
        <v>Porta riviste</v>
      </c>
      <c r="C9" s="89">
        <v>130</v>
      </c>
      <c r="D9" s="89">
        <v>180</v>
      </c>
      <c r="F9" s="43" t="s">
        <v>451</v>
      </c>
      <c r="H9" s="105">
        <f t="shared" si="0"/>
        <v>2398.9</v>
      </c>
      <c r="J9" s="89">
        <v>29.8</v>
      </c>
      <c r="K9" s="162">
        <v>3.5</v>
      </c>
      <c r="L9" s="163">
        <v>23</v>
      </c>
    </row>
    <row r="10" spans="2:12" x14ac:dyDescent="0.3">
      <c r="B10" s="111" t="str">
        <f>+'Finished goods'!A10</f>
        <v>Lampada 90 grossa</v>
      </c>
      <c r="C10" s="89">
        <v>400</v>
      </c>
      <c r="D10" s="89">
        <v>450</v>
      </c>
      <c r="F10" s="43" t="s">
        <v>452</v>
      </c>
      <c r="H10" s="105">
        <f t="shared" si="0"/>
        <v>2398.9</v>
      </c>
      <c r="J10" s="89">
        <v>29.8</v>
      </c>
      <c r="K10" s="162">
        <v>3.5</v>
      </c>
      <c r="L10" s="163">
        <v>23</v>
      </c>
    </row>
    <row r="11" spans="2:12" x14ac:dyDescent="0.3">
      <c r="B11" s="111" t="str">
        <f>+'Finished goods'!A11</f>
        <v>Lampada 90 piccola</v>
      </c>
      <c r="C11" s="89">
        <v>200</v>
      </c>
      <c r="D11" s="89">
        <v>200</v>
      </c>
      <c r="F11" s="43" t="s">
        <v>453</v>
      </c>
      <c r="H11" s="105">
        <f t="shared" si="0"/>
        <v>2398.9</v>
      </c>
      <c r="J11" s="89">
        <v>29.8</v>
      </c>
      <c r="K11" s="162">
        <v>3.5</v>
      </c>
      <c r="L11" s="163">
        <v>23</v>
      </c>
    </row>
    <row r="12" spans="2:12" x14ac:dyDescent="0.3">
      <c r="B12" s="111" t="str">
        <f>+'Finished goods'!A12</f>
        <v>Vaso Logo</v>
      </c>
      <c r="C12" s="89">
        <v>310</v>
      </c>
      <c r="D12" s="89">
        <v>350</v>
      </c>
      <c r="F12" s="43" t="s">
        <v>454</v>
      </c>
      <c r="H12" s="105">
        <f t="shared" si="0"/>
        <v>2398.9</v>
      </c>
      <c r="J12" s="89">
        <v>29.8</v>
      </c>
      <c r="K12" s="162">
        <v>3.5</v>
      </c>
      <c r="L12" s="163">
        <v>23</v>
      </c>
    </row>
    <row r="13" spans="2:12" x14ac:dyDescent="0.3">
      <c r="B13" s="111" t="str">
        <f>+'Finished goods'!A13</f>
        <v>Copri candela</v>
      </c>
      <c r="C13" s="89">
        <v>20</v>
      </c>
      <c r="D13" s="89">
        <v>75</v>
      </c>
      <c r="F13" s="43" t="s">
        <v>455</v>
      </c>
      <c r="H13" s="105">
        <f t="shared" si="0"/>
        <v>2398.9</v>
      </c>
      <c r="J13" s="89">
        <v>29.8</v>
      </c>
      <c r="K13" s="162">
        <v>3.5</v>
      </c>
      <c r="L13" s="163">
        <v>23</v>
      </c>
    </row>
    <row r="14" spans="2:12" x14ac:dyDescent="0.3">
      <c r="B14" s="111" t="str">
        <f>+'Finished goods'!A14</f>
        <v xml:space="preserve">Vaso Grosso </v>
      </c>
      <c r="C14" s="89">
        <v>200</v>
      </c>
      <c r="D14" s="89">
        <v>250</v>
      </c>
      <c r="F14" s="43" t="s">
        <v>456</v>
      </c>
      <c r="H14" s="105">
        <f t="shared" si="0"/>
        <v>2398.9</v>
      </c>
      <c r="J14" s="89">
        <v>29.8</v>
      </c>
      <c r="K14" s="162">
        <v>3.5</v>
      </c>
      <c r="L14" s="163">
        <v>23</v>
      </c>
    </row>
    <row r="15" spans="2:12" x14ac:dyDescent="0.3">
      <c r="B15" s="111" t="str">
        <f>+'Finished goods'!A15</f>
        <v>Bicchiere curve dritto</v>
      </c>
      <c r="C15" s="89">
        <v>15</v>
      </c>
      <c r="D15" s="89"/>
      <c r="F15" s="43" t="s">
        <v>457</v>
      </c>
      <c r="H15" s="105">
        <f t="shared" si="0"/>
        <v>2398.9</v>
      </c>
      <c r="J15" s="89">
        <v>29.8</v>
      </c>
      <c r="K15" s="162">
        <v>3.5</v>
      </c>
      <c r="L15" s="163">
        <v>23</v>
      </c>
    </row>
    <row r="16" spans="2:12" x14ac:dyDescent="0.3">
      <c r="B16" s="111" t="str">
        <f>+'Finished goods'!A16</f>
        <v>Bicchiere curve twist</v>
      </c>
      <c r="C16" s="89">
        <v>15</v>
      </c>
      <c r="D16" s="89"/>
      <c r="F16" s="43" t="s">
        <v>458</v>
      </c>
      <c r="H16" s="105">
        <f t="shared" si="0"/>
        <v>2398.9</v>
      </c>
      <c r="J16" s="89">
        <v>29.8</v>
      </c>
      <c r="K16" s="162">
        <v>3.5</v>
      </c>
      <c r="L16" s="163">
        <v>23</v>
      </c>
    </row>
    <row r="17" spans="1:15" x14ac:dyDescent="0.3">
      <c r="B17" s="111" t="str">
        <f>+'Finished goods'!A17</f>
        <v>Caraffa curva</v>
      </c>
      <c r="C17" s="89">
        <v>30</v>
      </c>
      <c r="D17" s="89">
        <v>30</v>
      </c>
    </row>
    <row r="18" spans="1:15" x14ac:dyDescent="0.3">
      <c r="B18" s="111" t="str">
        <f>+'Finished goods'!A18</f>
        <v>Caraffa colonna dritta</v>
      </c>
      <c r="C18" s="89">
        <v>30</v>
      </c>
      <c r="D18" s="89">
        <v>30</v>
      </c>
    </row>
    <row r="19" spans="1:15" x14ac:dyDescent="0.3">
      <c r="B19" s="111" t="str">
        <f>+'Finished goods'!A19</f>
        <v>Caraffa colonna twist1</v>
      </c>
      <c r="C19" s="89">
        <v>30</v>
      </c>
      <c r="D19" s="89">
        <v>30</v>
      </c>
    </row>
    <row r="20" spans="1:15" x14ac:dyDescent="0.3">
      <c r="B20" s="111" t="str">
        <f>+'Finished goods'!A20</f>
        <v>Caraffa colonna twist2</v>
      </c>
      <c r="C20" s="89">
        <v>30</v>
      </c>
      <c r="D20" s="89">
        <v>30</v>
      </c>
    </row>
    <row r="21" spans="1:15" x14ac:dyDescent="0.3">
      <c r="B21" s="111" t="str">
        <f>+'Finished goods'!A21</f>
        <v>Caraffa colonna twist3</v>
      </c>
      <c r="C21" s="89">
        <v>30</v>
      </c>
      <c r="D21" s="89">
        <v>30</v>
      </c>
    </row>
    <row r="22" spans="1:15" x14ac:dyDescent="0.3">
      <c r="B22" s="111" t="str">
        <f>+'Finished goods'!A22</f>
        <v>Bicchiere colonna twist1</v>
      </c>
      <c r="C22" s="89">
        <v>15</v>
      </c>
      <c r="D22" s="89"/>
    </row>
    <row r="23" spans="1:15" x14ac:dyDescent="0.3">
      <c r="B23" s="111" t="str">
        <f>+'Finished goods'!A23</f>
        <v>Bicchiere colonna twist2</v>
      </c>
      <c r="C23" s="89">
        <v>15</v>
      </c>
      <c r="D23" s="89"/>
    </row>
    <row r="24" spans="1:15" x14ac:dyDescent="0.3">
      <c r="B24" s="111" t="str">
        <f>+'Finished goods'!A24</f>
        <v>Bicchiere colonna twist3</v>
      </c>
      <c r="C24" s="89">
        <v>15</v>
      </c>
      <c r="D24" s="89"/>
    </row>
    <row r="25" spans="1:15" x14ac:dyDescent="0.3">
      <c r="B25" s="111" t="str">
        <f>+'Finished goods'!A25</f>
        <v>Bicchiere colonna twist alto</v>
      </c>
      <c r="C25" s="89">
        <v>15</v>
      </c>
      <c r="D25" s="89"/>
    </row>
    <row r="26" spans="1:15" x14ac:dyDescent="0.3">
      <c r="B26" s="111" t="str">
        <f>+'Finished goods'!A26</f>
        <v>Oliera1</v>
      </c>
      <c r="C26" s="89">
        <v>20</v>
      </c>
      <c r="D26" s="89"/>
    </row>
    <row r="27" spans="1:15" x14ac:dyDescent="0.3">
      <c r="B27" s="112" t="str">
        <f>+'Finished goods'!A27</f>
        <v>Piatto spirale</v>
      </c>
      <c r="C27" s="89">
        <v>15</v>
      </c>
      <c r="D27" s="89"/>
    </row>
    <row r="30" spans="1:15" x14ac:dyDescent="0.3">
      <c r="A30" s="161" t="s">
        <v>145</v>
      </c>
    </row>
    <row r="31" spans="1:15" x14ac:dyDescent="0.3">
      <c r="A31" s="12" t="s">
        <v>399</v>
      </c>
      <c r="C31" s="105">
        <f>SUBTOTAL(9,C33:C44)</f>
        <v>8320</v>
      </c>
      <c r="D31" s="105">
        <f t="shared" ref="D31:O31" si="1">SUBTOTAL(9,D33:D44)</f>
        <v>8320</v>
      </c>
      <c r="E31" s="105">
        <f t="shared" si="1"/>
        <v>8320</v>
      </c>
      <c r="F31" s="105">
        <f t="shared" si="1"/>
        <v>8320</v>
      </c>
      <c r="G31" s="105">
        <f t="shared" si="1"/>
        <v>8320</v>
      </c>
      <c r="H31" s="105">
        <f t="shared" si="1"/>
        <v>8320</v>
      </c>
      <c r="I31" s="105">
        <f t="shared" si="1"/>
        <v>8320</v>
      </c>
      <c r="J31" s="105">
        <f t="shared" si="1"/>
        <v>8320</v>
      </c>
      <c r="K31" s="105">
        <f t="shared" si="1"/>
        <v>8320</v>
      </c>
      <c r="L31" s="105">
        <f t="shared" si="1"/>
        <v>8320</v>
      </c>
      <c r="M31" s="105">
        <f t="shared" si="1"/>
        <v>8320</v>
      </c>
      <c r="N31" s="105">
        <f t="shared" si="1"/>
        <v>8320</v>
      </c>
      <c r="O31" s="160">
        <f t="shared" si="1"/>
        <v>99840</v>
      </c>
    </row>
    <row r="32" spans="1:15" x14ac:dyDescent="0.3">
      <c r="A32" s="12" t="s">
        <v>400</v>
      </c>
      <c r="B32" s="1" t="s">
        <v>146</v>
      </c>
      <c r="C32" s="43" t="s">
        <v>447</v>
      </c>
      <c r="D32" s="43" t="s">
        <v>448</v>
      </c>
      <c r="E32" s="43" t="s">
        <v>449</v>
      </c>
      <c r="F32" s="43" t="s">
        <v>450</v>
      </c>
      <c r="G32" s="43" t="s">
        <v>451</v>
      </c>
      <c r="H32" s="43" t="s">
        <v>452</v>
      </c>
      <c r="I32" s="43" t="s">
        <v>453</v>
      </c>
      <c r="J32" s="43" t="s">
        <v>454</v>
      </c>
      <c r="K32" s="43" t="s">
        <v>455</v>
      </c>
      <c r="L32" s="43" t="s">
        <v>456</v>
      </c>
      <c r="M32" s="43" t="s">
        <v>457</v>
      </c>
      <c r="N32" s="43" t="s">
        <v>458</v>
      </c>
      <c r="O32" s="161" t="s">
        <v>459</v>
      </c>
    </row>
    <row r="33" spans="1:15" x14ac:dyDescent="0.3">
      <c r="A33" s="12" t="s">
        <v>401</v>
      </c>
      <c r="B33" s="179" t="str">
        <f>+'BUSINESS TO BUSINESS'!B3</f>
        <v>VILLA SPARINA</v>
      </c>
      <c r="C33" s="180">
        <f>+'BUSINESS TO BUSINESS'!AH3</f>
        <v>8320</v>
      </c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2">
        <f>SUM(C33:N33)</f>
        <v>8320</v>
      </c>
    </row>
    <row r="34" spans="1:15" x14ac:dyDescent="0.3">
      <c r="A34" s="12" t="s">
        <v>402</v>
      </c>
      <c r="B34" s="179" t="str">
        <f>+'BUSINESS TO BUSINESS'!B32</f>
        <v>"ALFA"</v>
      </c>
      <c r="C34" s="180"/>
      <c r="D34" s="180">
        <f>+'BUSINESS TO BUSINESS'!AH32</f>
        <v>8320</v>
      </c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2">
        <f t="shared" ref="O34:O44" si="2">SUM(C34:N34)</f>
        <v>8320</v>
      </c>
    </row>
    <row r="35" spans="1:15" x14ac:dyDescent="0.3">
      <c r="A35" s="12" t="s">
        <v>403</v>
      </c>
      <c r="B35" s="179" t="str">
        <f>+'BUSINESS TO BUSINESS'!B61</f>
        <v>"BETA"</v>
      </c>
      <c r="C35" s="180"/>
      <c r="D35" s="181"/>
      <c r="E35" s="180">
        <f>+'BUSINESS TO BUSINESS'!AH61</f>
        <v>8320</v>
      </c>
      <c r="F35" s="181"/>
      <c r="G35" s="181"/>
      <c r="H35" s="181"/>
      <c r="I35" s="181"/>
      <c r="J35" s="181"/>
      <c r="K35" s="181"/>
      <c r="L35" s="181"/>
      <c r="M35" s="181"/>
      <c r="N35" s="181"/>
      <c r="O35" s="182">
        <f t="shared" si="2"/>
        <v>8320</v>
      </c>
    </row>
    <row r="36" spans="1:15" x14ac:dyDescent="0.3">
      <c r="A36" s="12" t="s">
        <v>404</v>
      </c>
      <c r="B36" s="179" t="str">
        <f>+'BUSINESS TO BUSINESS'!B90</f>
        <v>"GAMMA"</v>
      </c>
      <c r="C36" s="180"/>
      <c r="D36" s="181"/>
      <c r="E36" s="181"/>
      <c r="F36" s="180">
        <f>+'BUSINESS TO BUSINESS'!AH90</f>
        <v>8320</v>
      </c>
      <c r="G36" s="181"/>
      <c r="H36" s="181"/>
      <c r="I36" s="181"/>
      <c r="J36" s="181"/>
      <c r="K36" s="181"/>
      <c r="L36" s="181"/>
      <c r="M36" s="181"/>
      <c r="N36" s="181"/>
      <c r="O36" s="182">
        <f t="shared" si="2"/>
        <v>8320</v>
      </c>
    </row>
    <row r="37" spans="1:15" x14ac:dyDescent="0.3">
      <c r="A37" s="12" t="s">
        <v>405</v>
      </c>
      <c r="B37" s="179" t="str">
        <f>+'BUSINESS TO BUSINESS'!B119</f>
        <v>"DELTA"</v>
      </c>
      <c r="C37" s="180"/>
      <c r="D37" s="181"/>
      <c r="E37" s="181"/>
      <c r="F37" s="181"/>
      <c r="G37" s="180">
        <f>+'BUSINESS TO BUSINESS'!AH119</f>
        <v>8320</v>
      </c>
      <c r="H37" s="181"/>
      <c r="I37" s="181"/>
      <c r="J37" s="181"/>
      <c r="K37" s="181"/>
      <c r="L37" s="181"/>
      <c r="M37" s="181"/>
      <c r="N37" s="181"/>
      <c r="O37" s="182">
        <f t="shared" si="2"/>
        <v>8320</v>
      </c>
    </row>
    <row r="38" spans="1:15" x14ac:dyDescent="0.3">
      <c r="A38" s="12" t="s">
        <v>406</v>
      </c>
      <c r="B38" s="179" t="str">
        <f>+'BUSINESS TO BUSINESS'!B148</f>
        <v>"EPSILON"</v>
      </c>
      <c r="C38" s="180"/>
      <c r="D38" s="181"/>
      <c r="E38" s="181"/>
      <c r="F38" s="181"/>
      <c r="G38" s="181"/>
      <c r="H38" s="180">
        <f>+'BUSINESS TO BUSINESS'!AH148</f>
        <v>8320</v>
      </c>
      <c r="I38" s="181"/>
      <c r="J38" s="181"/>
      <c r="K38" s="181"/>
      <c r="L38" s="181"/>
      <c r="M38" s="181"/>
      <c r="N38" s="181"/>
      <c r="O38" s="182">
        <f t="shared" si="2"/>
        <v>8320</v>
      </c>
    </row>
    <row r="39" spans="1:15" x14ac:dyDescent="0.3">
      <c r="A39" s="12" t="s">
        <v>407</v>
      </c>
      <c r="B39" s="179" t="str">
        <f>+'BUSINESS TO BUSINESS'!B177</f>
        <v>"ZETA"</v>
      </c>
      <c r="C39" s="180"/>
      <c r="D39" s="181"/>
      <c r="E39" s="181"/>
      <c r="F39" s="181"/>
      <c r="G39" s="181"/>
      <c r="H39" s="181"/>
      <c r="I39" s="180">
        <f>+'BUSINESS TO BUSINESS'!AH177</f>
        <v>8320</v>
      </c>
      <c r="J39" s="181"/>
      <c r="K39" s="181"/>
      <c r="L39" s="181"/>
      <c r="M39" s="181"/>
      <c r="N39" s="181"/>
      <c r="O39" s="182">
        <f t="shared" si="2"/>
        <v>8320</v>
      </c>
    </row>
    <row r="40" spans="1:15" x14ac:dyDescent="0.3">
      <c r="A40" s="12" t="s">
        <v>408</v>
      </c>
      <c r="B40" s="179" t="str">
        <f>+'BUSINESS TO BUSINESS'!B206</f>
        <v>"ETA"</v>
      </c>
      <c r="C40" s="180"/>
      <c r="D40" s="181"/>
      <c r="E40" s="181"/>
      <c r="F40" s="181"/>
      <c r="G40" s="181"/>
      <c r="H40" s="181"/>
      <c r="I40" s="181"/>
      <c r="J40" s="180">
        <f>+'BUSINESS TO BUSINESS'!AH206</f>
        <v>8320</v>
      </c>
      <c r="K40" s="181"/>
      <c r="L40" s="181"/>
      <c r="M40" s="181"/>
      <c r="N40" s="181"/>
      <c r="O40" s="182">
        <f t="shared" si="2"/>
        <v>8320</v>
      </c>
    </row>
    <row r="41" spans="1:15" x14ac:dyDescent="0.3">
      <c r="A41" s="12" t="s">
        <v>409</v>
      </c>
      <c r="B41" s="179" t="str">
        <f>+'BUSINESS TO BUSINESS'!B235</f>
        <v>"THETA"</v>
      </c>
      <c r="C41" s="180"/>
      <c r="D41" s="181"/>
      <c r="E41" s="181"/>
      <c r="F41" s="181"/>
      <c r="G41" s="181"/>
      <c r="H41" s="181"/>
      <c r="I41" s="181"/>
      <c r="J41" s="181"/>
      <c r="K41" s="180">
        <f>+'BUSINESS TO BUSINESS'!AH235</f>
        <v>8320</v>
      </c>
      <c r="L41" s="181"/>
      <c r="M41" s="181"/>
      <c r="N41" s="181"/>
      <c r="O41" s="182">
        <f t="shared" si="2"/>
        <v>8320</v>
      </c>
    </row>
    <row r="42" spans="1:15" x14ac:dyDescent="0.3">
      <c r="A42" s="12" t="s">
        <v>410</v>
      </c>
      <c r="B42" s="179" t="str">
        <f>+'BUSINESS TO BUSINESS'!B264</f>
        <v>"IOTA"</v>
      </c>
      <c r="C42" s="180"/>
      <c r="D42" s="181"/>
      <c r="E42" s="181"/>
      <c r="F42" s="181"/>
      <c r="G42" s="181"/>
      <c r="H42" s="181"/>
      <c r="I42" s="181"/>
      <c r="J42" s="181"/>
      <c r="K42" s="181"/>
      <c r="L42" s="180">
        <f>+'BUSINESS TO BUSINESS'!AH264</f>
        <v>8320</v>
      </c>
      <c r="M42" s="181"/>
      <c r="N42" s="181"/>
      <c r="O42" s="182">
        <f t="shared" si="2"/>
        <v>8320</v>
      </c>
    </row>
    <row r="43" spans="1:15" x14ac:dyDescent="0.3">
      <c r="A43" s="12"/>
      <c r="B43" s="179" t="str">
        <f>+'BUSINESS TO BUSINESS'!B293</f>
        <v>"KAPPA"</v>
      </c>
      <c r="C43" s="180"/>
      <c r="D43" s="181"/>
      <c r="E43" s="181"/>
      <c r="F43" s="181"/>
      <c r="G43" s="181"/>
      <c r="H43" s="181"/>
      <c r="I43" s="181"/>
      <c r="J43" s="181"/>
      <c r="K43" s="181"/>
      <c r="L43" s="181"/>
      <c r="M43" s="180">
        <f>+'BUSINESS TO BUSINESS'!AH293</f>
        <v>8320</v>
      </c>
      <c r="N43" s="181"/>
      <c r="O43" s="182">
        <f t="shared" si="2"/>
        <v>8320</v>
      </c>
    </row>
    <row r="44" spans="1:15" x14ac:dyDescent="0.3">
      <c r="A44" s="12"/>
      <c r="B44" s="179" t="str">
        <f>+'BUSINESS TO BUSINESS'!B322</f>
        <v>"LAMBDA"</v>
      </c>
      <c r="C44" s="180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0">
        <f>+'BUSINESS TO BUSINESS'!AH322</f>
        <v>8320</v>
      </c>
      <c r="O44" s="182">
        <f t="shared" si="2"/>
        <v>8320</v>
      </c>
    </row>
    <row r="45" spans="1:15" x14ac:dyDescent="0.3">
      <c r="A45" s="12"/>
    </row>
    <row r="46" spans="1:15" x14ac:dyDescent="0.3">
      <c r="A46" s="12"/>
    </row>
    <row r="47" spans="1:15" x14ac:dyDescent="0.3">
      <c r="A47" s="12"/>
      <c r="C47" s="43" t="s">
        <v>447</v>
      </c>
      <c r="D47" s="43" t="s">
        <v>448</v>
      </c>
      <c r="E47" s="43" t="s">
        <v>449</v>
      </c>
      <c r="F47" s="43" t="s">
        <v>450</v>
      </c>
      <c r="G47" s="43" t="s">
        <v>451</v>
      </c>
      <c r="H47" s="43" t="s">
        <v>452</v>
      </c>
      <c r="I47" s="43" t="s">
        <v>453</v>
      </c>
      <c r="J47" s="43" t="s">
        <v>454</v>
      </c>
      <c r="K47" s="43" t="s">
        <v>455</v>
      </c>
      <c r="L47" s="43" t="s">
        <v>456</v>
      </c>
      <c r="M47" s="43" t="s">
        <v>457</v>
      </c>
      <c r="N47" s="43" t="s">
        <v>458</v>
      </c>
      <c r="O47" s="161" t="s">
        <v>459</v>
      </c>
    </row>
    <row r="48" spans="1:15" x14ac:dyDescent="0.3">
      <c r="B48" s="1" t="s">
        <v>147</v>
      </c>
      <c r="C48" s="180">
        <f>+'PRIVATE CUSTOMER (BtoC)'!AH3</f>
        <v>180</v>
      </c>
      <c r="D48" s="180">
        <f>+'PRIVATE CUSTOMER (BtoC)'!AH32</f>
        <v>0</v>
      </c>
      <c r="E48" s="180">
        <f>+'PRIVATE CUSTOMER (BtoC)'!AH61</f>
        <v>0</v>
      </c>
      <c r="F48" s="180">
        <f>+'PRIVATE CUSTOMER (BtoC)'!AH90</f>
        <v>0</v>
      </c>
      <c r="G48" s="180">
        <f>+'PRIVATE CUSTOMER (BtoC)'!AH119</f>
        <v>0</v>
      </c>
      <c r="H48" s="180">
        <f>+'PRIVATE CUSTOMER (BtoC)'!AH148</f>
        <v>0</v>
      </c>
      <c r="I48" s="180">
        <f>+'PRIVATE CUSTOMER (BtoC)'!AH177</f>
        <v>0</v>
      </c>
      <c r="J48" s="180">
        <f>+'PRIVATE CUSTOMER (BtoC)'!AH206</f>
        <v>0</v>
      </c>
      <c r="K48" s="180">
        <f>+'PRIVATE CUSTOMER (BtoC)'!AH235</f>
        <v>0</v>
      </c>
      <c r="L48" s="180">
        <f>+'PRIVATE CUSTOMER (BtoC)'!AH264</f>
        <v>0</v>
      </c>
      <c r="M48" s="180">
        <f>+'PRIVATE CUSTOMER (BtoC)'!AH293</f>
        <v>0</v>
      </c>
      <c r="N48" s="180">
        <f>+'PRIVATE CUSTOMER (BtoC)'!AH322</f>
        <v>0</v>
      </c>
      <c r="O48" s="182">
        <f>SUM(C48:N48)</f>
        <v>180</v>
      </c>
    </row>
  </sheetData>
  <autoFilter ref="B32:O32" xr:uid="{97618C06-B175-4F45-8FD5-358F1877E83A}"/>
  <mergeCells count="1">
    <mergeCell ref="C3:D3"/>
  </mergeCells>
  <phoneticPr fontId="10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1D3EF-DCD0-46C4-9FC0-F29520733099}">
  <sheetPr>
    <tabColor theme="3" tint="0.499984740745262"/>
  </sheetPr>
  <dimension ref="A1:AJ346"/>
  <sheetViews>
    <sheetView zoomScale="77" zoomScaleNormal="100" workbookViewId="0">
      <pane xSplit="3" ySplit="4" topLeftCell="S25" activePane="bottomRight" state="frozen"/>
      <selection activeCell="J40" sqref="J40"/>
      <selection pane="topRight" activeCell="J40" sqref="J40"/>
      <selection pane="bottomLeft" activeCell="J40" sqref="J40"/>
      <selection pane="bottomRight" activeCell="AB34" sqref="AB34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customWidth="1"/>
    <col min="6" max="6" width="11.77734375" bestFit="1" customWidth="1"/>
    <col min="7" max="7" width="8.44140625" customWidth="1"/>
    <col min="8" max="8" width="15.44140625" customWidth="1"/>
    <col min="9" max="10" width="14" customWidth="1"/>
    <col min="11" max="11" width="10.44140625" hidden="1" customWidth="1" outlineLevel="1"/>
    <col min="12" max="12" width="13.44140625" hidden="1" customWidth="1" outlineLevel="1"/>
    <col min="13" max="13" width="11.33203125" hidden="1" customWidth="1" outlineLevel="1"/>
    <col min="14" max="14" width="14.6640625" hidden="1" customWidth="1" outlineLevel="1"/>
    <col min="15" max="15" width="9.109375" hidden="1" customWidth="1" outlineLevel="1"/>
    <col min="16" max="16" width="11.2187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1.33203125" bestFit="1" customWidth="1"/>
    <col min="23" max="23" width="14.6640625" bestFit="1" customWidth="1"/>
    <col min="24" max="24" width="14" bestFit="1" customWidth="1"/>
    <col min="25" max="26" width="10.109375" bestFit="1" customWidth="1"/>
    <col min="27" max="28" width="10.109375" customWidth="1"/>
    <col min="29" max="29" width="14.6640625" bestFit="1" customWidth="1"/>
    <col min="30" max="30" width="9.44140625" bestFit="1" customWidth="1"/>
    <col min="31" max="31" width="10.77734375" bestFit="1" customWidth="1"/>
    <col min="32" max="32" width="9.44140625" bestFit="1" customWidth="1"/>
    <col min="34" max="34" width="16.33203125" bestFit="1" customWidth="1"/>
    <col min="35" max="35" width="16" bestFit="1" customWidth="1"/>
  </cols>
  <sheetData>
    <row r="1" spans="1:36" ht="18.600000000000001" thickBot="1" x14ac:dyDescent="0.4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10" t="s">
        <v>32</v>
      </c>
      <c r="S1" s="87">
        <f>+S3/60/7</f>
        <v>20.461904761904758</v>
      </c>
      <c r="T1" s="88" t="s">
        <v>83</v>
      </c>
      <c r="V1" s="6"/>
      <c r="W1" s="183"/>
      <c r="X1" s="6"/>
      <c r="Y1" s="183"/>
      <c r="Z1" s="183"/>
      <c r="AA1" s="183"/>
      <c r="AB1" s="183"/>
      <c r="AC1" s="183"/>
    </row>
    <row r="2" spans="1:36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38" t="s">
        <v>135</v>
      </c>
      <c r="W2" s="239"/>
      <c r="X2" s="239"/>
      <c r="Y2" s="239"/>
      <c r="Z2" s="239"/>
      <c r="AA2" s="239"/>
      <c r="AB2" s="239"/>
      <c r="AC2" s="240"/>
      <c r="AJ2" s="171" t="s">
        <v>433</v>
      </c>
    </row>
    <row r="3" spans="1:36" ht="18" x14ac:dyDescent="0.35">
      <c r="B3" s="178" t="s">
        <v>396</v>
      </c>
      <c r="F3" s="225" t="s">
        <v>44</v>
      </c>
      <c r="G3" s="225"/>
      <c r="I3" s="20">
        <f>SUBTOTAL(9,I5:I27)</f>
        <v>59.570075669444442</v>
      </c>
      <c r="J3" s="20">
        <f>SUBTOTAL(9,J5:J27)</f>
        <v>53.613068102499987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>SUBTOTAL(9,S5:S27)</f>
        <v>8594</v>
      </c>
      <c r="T3" s="17">
        <f>SUBTOTAL(9,T5:T27)</f>
        <v>162.95047083611109</v>
      </c>
      <c r="U3" s="75">
        <f>SUBTOTAL(9,U5:U27)</f>
        <v>146.65542375250001</v>
      </c>
      <c r="V3" s="77">
        <f t="shared" ref="V3:AC3" si="0">SUBTOTAL(9,V5:V27)</f>
        <v>72.723444869466206</v>
      </c>
      <c r="W3" s="17">
        <f t="shared" si="0"/>
        <v>0.99564367185572245</v>
      </c>
      <c r="X3" s="17">
        <f t="shared" si="0"/>
        <v>1353.5550000000003</v>
      </c>
      <c r="Y3" s="17">
        <f t="shared" si="0"/>
        <v>506.01737451737455</v>
      </c>
      <c r="Z3" s="17">
        <f t="shared" si="0"/>
        <v>22.605749238676189</v>
      </c>
      <c r="AA3" s="17">
        <f t="shared" si="0"/>
        <v>18.889429234236815</v>
      </c>
      <c r="AB3" s="17">
        <f t="shared" si="0"/>
        <v>468</v>
      </c>
      <c r="AC3" s="78">
        <f t="shared" si="0"/>
        <v>2442.7866415316093</v>
      </c>
      <c r="AE3" s="44"/>
      <c r="AF3" s="225" t="s">
        <v>118</v>
      </c>
      <c r="AG3" s="225"/>
      <c r="AH3" s="108">
        <f t="shared" ref="AH3" si="1">SUBTOTAL(9,AH5:AH27)</f>
        <v>8320</v>
      </c>
      <c r="AI3" s="170">
        <f>SUBTOTAL(9,AI5:AI27)</f>
        <v>5877.2133584683897</v>
      </c>
      <c r="AJ3" s="44">
        <f>+AH3-AC3-AI3</f>
        <v>0</v>
      </c>
    </row>
    <row r="4" spans="1:36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93</v>
      </c>
      <c r="Q4" s="1" t="s">
        <v>94</v>
      </c>
      <c r="R4" s="11" t="s">
        <v>39</v>
      </c>
      <c r="S4" s="2" t="s">
        <v>43</v>
      </c>
      <c r="T4" s="2" t="s">
        <v>2</v>
      </c>
      <c r="U4" s="76" t="s">
        <v>7</v>
      </c>
      <c r="V4" s="2" t="str">
        <f>+'Finished goods'!K4</f>
        <v>energia €/h</v>
      </c>
      <c r="W4" s="2" t="str">
        <f>+'Project Ostelliere'!W4</f>
        <v>materiale €/Kg</v>
      </c>
      <c r="X4" s="2" t="str">
        <f>+'Project Ostelliere'!X4</f>
        <v>mod</v>
      </c>
      <c r="Y4" s="2" t="str">
        <f>+'Project Ostelliere'!Y4</f>
        <v>ammort</v>
      </c>
      <c r="Z4" s="2" t="str">
        <f>+'Project Ostelliere'!Z4</f>
        <v>Accensione</v>
      </c>
      <c r="AA4" s="2" t="s">
        <v>111</v>
      </c>
      <c r="AB4" s="2" t="s">
        <v>115</v>
      </c>
      <c r="AC4" s="80" t="s">
        <v>42</v>
      </c>
      <c r="AD4" s="53" t="s">
        <v>116</v>
      </c>
      <c r="AE4" s="1" t="s">
        <v>117</v>
      </c>
      <c r="AF4" s="1" t="s">
        <v>119</v>
      </c>
      <c r="AG4" s="1" t="s">
        <v>120</v>
      </c>
      <c r="AH4" s="1" t="s">
        <v>121</v>
      </c>
      <c r="AI4" s="1" t="s">
        <v>432</v>
      </c>
    </row>
    <row r="5" spans="1:36" ht="14.4" customHeight="1" x14ac:dyDescent="0.3">
      <c r="A5" s="222" t="s">
        <v>411</v>
      </c>
      <c r="B5" s="4" t="str">
        <f>+'Project Ostelliere'!B5</f>
        <v>OSTELLIERE</v>
      </c>
      <c r="C5" s="4" t="str">
        <f>+'Project Ostelliere'!C5</f>
        <v>Tavolo twist Logo</v>
      </c>
      <c r="D5" s="5">
        <f>+'Project Ostelliere'!D5</f>
        <v>8</v>
      </c>
      <c r="E5" s="5">
        <f>+'Project Ostelliere'!E5</f>
        <v>10</v>
      </c>
      <c r="F5" s="5">
        <f>+'Project Ostelliere'!F5</f>
        <v>1.22</v>
      </c>
      <c r="G5" s="5">
        <f>+'Project Ostelliere'!G5</f>
        <v>82</v>
      </c>
      <c r="H5" s="4">
        <f>+'Project Ostelliere'!H5</f>
        <v>7.9769999999999997E-3</v>
      </c>
      <c r="I5" s="6">
        <f>+'Project Ostelliere'!I5</f>
        <v>22.158333333333331</v>
      </c>
      <c r="J5" s="6">
        <f>+'Project Ostelliere'!J5</f>
        <v>19.942499999999999</v>
      </c>
      <c r="R5" s="5">
        <f>+'Project Ostelliere'!R5</f>
        <v>2</v>
      </c>
      <c r="S5" s="6">
        <f>+'Project Ostelliere'!S5</f>
        <v>164</v>
      </c>
      <c r="T5" s="6">
        <f>+'Project Ostelliere'!T5</f>
        <v>44.316666666666663</v>
      </c>
      <c r="U5" s="6">
        <f>+'Project Ostelliere'!U5</f>
        <v>39.884999999999998</v>
      </c>
      <c r="V5" s="81">
        <f>+'Project Ostelliere'!V5</f>
        <v>1.3877874050026131</v>
      </c>
      <c r="W5" s="82">
        <f>+'Project Ostelliere'!W5</f>
        <v>0.27077926499999999</v>
      </c>
      <c r="X5" s="82">
        <f>+'Project Ostelliere'!X5</f>
        <v>25.830000000000005</v>
      </c>
      <c r="Y5" s="82">
        <f>+'Project Ostelliere'!Y5</f>
        <v>9.6563706563706564</v>
      </c>
      <c r="Z5" s="82">
        <f>+'Project Ostelliere'!Z5</f>
        <v>0.43552879096190478</v>
      </c>
      <c r="AA5" s="82">
        <f>+'Project Ostelliere'!AA5</f>
        <v>5.1372452905594805</v>
      </c>
      <c r="AB5" s="82">
        <f>+'Project Ostelliere'!AB5</f>
        <v>300</v>
      </c>
      <c r="AC5" s="83">
        <f>SUM(V5:AB5)</f>
        <v>342.71771140789463</v>
      </c>
      <c r="AD5" s="93">
        <f>+AC5/R5</f>
        <v>171.35885570394731</v>
      </c>
      <c r="AE5" s="93">
        <f>+'REVENUE DATA'!C5</f>
        <v>800</v>
      </c>
      <c r="AF5" s="93">
        <f>+AE5-AD5</f>
        <v>628.64114429605274</v>
      </c>
      <c r="AG5" s="173">
        <f>+AF5/AD5</f>
        <v>3.6685652557235873</v>
      </c>
      <c r="AH5" s="93">
        <f>+AE5*R5</f>
        <v>1600</v>
      </c>
      <c r="AI5" s="93">
        <f>+AH5-AC5</f>
        <v>1257.2822885921055</v>
      </c>
    </row>
    <row r="6" spans="1:36" x14ac:dyDescent="0.3">
      <c r="A6" s="223"/>
      <c r="B6" s="4" t="str">
        <f>+'Project Ostelliere'!B6</f>
        <v>OSTELLIERE</v>
      </c>
      <c r="C6" s="4" t="str">
        <f>+'Project Ostelliere'!C6</f>
        <v xml:space="preserve">Vaso bitorzolo curvo </v>
      </c>
      <c r="D6" s="5">
        <f>+'Project Ostelliere'!D6</f>
        <v>4</v>
      </c>
      <c r="E6" s="5">
        <f>+'Project Ostelliere'!E6</f>
        <v>2</v>
      </c>
      <c r="F6" s="5">
        <f>+'Project Ostelliere'!F6</f>
        <v>5.21</v>
      </c>
      <c r="G6" s="5">
        <f>+'Project Ostelliere'!G6</f>
        <v>321</v>
      </c>
      <c r="H6" s="4">
        <f>+'Project Ostelliere'!H6</f>
        <v>6.0029599999999995E-4</v>
      </c>
      <c r="I6" s="6">
        <f>+'Project Ostelliere'!I6</f>
        <v>1.6674888888888888</v>
      </c>
      <c r="J6" s="6">
        <f>+'Project Ostelliere'!J6</f>
        <v>1.50074</v>
      </c>
      <c r="R6" s="5">
        <f>+'Project Ostelliere'!R6</f>
        <v>2</v>
      </c>
      <c r="S6" s="6">
        <f>+'Project Ostelliere'!S6</f>
        <v>642</v>
      </c>
      <c r="T6" s="6">
        <f>+'Project Ostelliere'!T6</f>
        <v>3.3349777777777776</v>
      </c>
      <c r="U6" s="6">
        <f>+'Project Ostelliere'!U6</f>
        <v>3.0014799999999999</v>
      </c>
      <c r="V6" s="81">
        <f>+'Project Ostelliere'!V6</f>
        <v>5.4326799634858398</v>
      </c>
      <c r="W6" s="82">
        <f>+'Project Ostelliere'!W6</f>
        <v>2.0377047719999999E-2</v>
      </c>
      <c r="X6" s="82">
        <f>+'Project Ostelliere'!X6</f>
        <v>101.11500000000002</v>
      </c>
      <c r="Y6" s="82">
        <f>+'Project Ostelliere'!Y6</f>
        <v>37.801158301158303</v>
      </c>
      <c r="Z6" s="82">
        <f>+'Project Ostelliere'!Z6</f>
        <v>1.7049358768142857</v>
      </c>
      <c r="AA6" s="82">
        <f>+'Project Ostelliere'!AA6</f>
        <v>0.38659493530671857</v>
      </c>
      <c r="AB6" s="82">
        <f>+'Project Ostelliere'!AB6</f>
        <v>0</v>
      </c>
      <c r="AC6" s="83">
        <f t="shared" ref="AC6:AC27" si="2">SUM(V6:AB6)</f>
        <v>146.46074612448518</v>
      </c>
      <c r="AD6" s="93">
        <f t="shared" ref="AD6:AD27" si="3">+AC6/R6</f>
        <v>73.230373062242592</v>
      </c>
      <c r="AE6" s="93">
        <f>+'REVENUE DATA'!C6</f>
        <v>250</v>
      </c>
      <c r="AF6" s="93">
        <f t="shared" ref="AF6:AF27" si="4">+AE6-AD6</f>
        <v>176.76962693775741</v>
      </c>
      <c r="AG6" s="173">
        <f t="shared" ref="AG6:AG27" si="5">+AF6/AD6</f>
        <v>2.4138840148678611</v>
      </c>
      <c r="AH6" s="93">
        <f t="shared" ref="AH6:AH27" si="6">+AE6*R6</f>
        <v>500</v>
      </c>
      <c r="AI6" s="93">
        <f t="shared" ref="AI6:AI27" si="7">+AH6-AC6</f>
        <v>353.53925387551482</v>
      </c>
    </row>
    <row r="7" spans="1:36" x14ac:dyDescent="0.3">
      <c r="A7" s="223"/>
      <c r="B7" s="4" t="str">
        <f>+'Project Ostelliere'!B7</f>
        <v>OSTELLIERE</v>
      </c>
      <c r="C7" s="4" t="str">
        <f>+'Project Ostelliere'!C7</f>
        <v>Vaso bitorzolo twist</v>
      </c>
      <c r="D7" s="5">
        <f>+'Project Ostelliere'!D7</f>
        <v>4</v>
      </c>
      <c r="E7" s="5">
        <f>+'Project Ostelliere'!E7</f>
        <v>2</v>
      </c>
      <c r="F7" s="5">
        <f>+'Project Ostelliere'!F7</f>
        <v>5.15</v>
      </c>
      <c r="G7" s="5">
        <f>+'Project Ostelliere'!G7</f>
        <v>315</v>
      </c>
      <c r="H7" s="4">
        <f>+'Project Ostelliere'!H7</f>
        <v>8.005105E-4</v>
      </c>
      <c r="I7" s="6">
        <f>+'Project Ostelliere'!I7</f>
        <v>2.2236402777777777</v>
      </c>
      <c r="J7" s="6">
        <f>+'Project Ostelliere'!J7</f>
        <v>2.0012762500000001</v>
      </c>
      <c r="R7" s="5">
        <f>+'Project Ostelliere'!R7</f>
        <v>2</v>
      </c>
      <c r="S7" s="6">
        <f>+'Project Ostelliere'!S7</f>
        <v>630</v>
      </c>
      <c r="T7" s="6">
        <f>+'Project Ostelliere'!T7</f>
        <v>4.4472805555555555</v>
      </c>
      <c r="U7" s="6">
        <f>+'Project Ostelliere'!U7</f>
        <v>4.0025525000000002</v>
      </c>
      <c r="V7" s="81">
        <f>+'Project Ostelliere'!V7</f>
        <v>5.3311345436076003</v>
      </c>
      <c r="W7" s="82">
        <f>+'Project Ostelliere'!W7</f>
        <v>2.71733289225E-2</v>
      </c>
      <c r="X7" s="82">
        <f>+'Project Ostelliere'!X7</f>
        <v>99.225000000000023</v>
      </c>
      <c r="Y7" s="82">
        <f>+'Project Ostelliere'!Y7</f>
        <v>37.094594594594597</v>
      </c>
      <c r="Z7" s="82">
        <f>+'Project Ostelliere'!Z7</f>
        <v>1.6730679165000002</v>
      </c>
      <c r="AA7" s="82">
        <f>+'Project Ostelliere'!AA7</f>
        <v>0.51553451124086935</v>
      </c>
      <c r="AB7" s="82">
        <f>+'Project Ostelliere'!AB7</f>
        <v>0</v>
      </c>
      <c r="AC7" s="83">
        <f t="shared" si="2"/>
        <v>143.86650489486561</v>
      </c>
      <c r="AD7" s="93">
        <f t="shared" si="3"/>
        <v>71.933252447432807</v>
      </c>
      <c r="AE7" s="93">
        <f>+'REVENUE DATA'!C7</f>
        <v>250</v>
      </c>
      <c r="AF7" s="93">
        <f t="shared" si="4"/>
        <v>178.06674755256719</v>
      </c>
      <c r="AG7" s="173">
        <f t="shared" si="5"/>
        <v>2.475444130413738</v>
      </c>
      <c r="AH7" s="93">
        <f t="shared" si="6"/>
        <v>500</v>
      </c>
      <c r="AI7" s="93">
        <f t="shared" si="7"/>
        <v>356.13349510513439</v>
      </c>
    </row>
    <row r="8" spans="1:36" x14ac:dyDescent="0.3">
      <c r="A8" s="223"/>
      <c r="B8" s="4" t="str">
        <f>+'Project Ostelliere'!B8</f>
        <v>OSTELLIERE</v>
      </c>
      <c r="C8" s="4" t="str">
        <f>+'Project Ostelliere'!C8</f>
        <v>Vaso bitorzolo dritto</v>
      </c>
      <c r="D8" s="5">
        <f>+'Project Ostelliere'!D8</f>
        <v>4</v>
      </c>
      <c r="E8" s="5">
        <f>+'Project Ostelliere'!E8</f>
        <v>2</v>
      </c>
      <c r="F8" s="5">
        <f>+'Project Ostelliere'!F8</f>
        <v>4.4800000000000004</v>
      </c>
      <c r="G8" s="5">
        <f>+'Project Ostelliere'!G8</f>
        <v>288</v>
      </c>
      <c r="H8" s="4">
        <f>+'Project Ostelliere'!H8</f>
        <v>8.2321687099999998E-4</v>
      </c>
      <c r="I8" s="6">
        <f>+'Project Ostelliere'!I8</f>
        <v>2.2867135305555553</v>
      </c>
      <c r="J8" s="6">
        <f>+'Project Ostelliere'!J8</f>
        <v>2.0580421775</v>
      </c>
      <c r="R8" s="5">
        <f>+'Project Ostelliere'!R8</f>
        <v>2</v>
      </c>
      <c r="S8" s="6">
        <f>+'Project Ostelliere'!S8</f>
        <v>576</v>
      </c>
      <c r="T8" s="6">
        <f>+'Project Ostelliere'!T8</f>
        <v>4.5734270611111105</v>
      </c>
      <c r="U8" s="6">
        <f>+'Project Ostelliere'!U8</f>
        <v>4.1160843549999999</v>
      </c>
      <c r="V8" s="81">
        <f>+'Project Ostelliere'!V8</f>
        <v>4.8741801541555203</v>
      </c>
      <c r="W8" s="82">
        <f>+'Project Ostelliere'!W8</f>
        <v>2.7944096686094998E-2</v>
      </c>
      <c r="X8" s="82">
        <f>+'Project Ostelliere'!X8</f>
        <v>90.720000000000013</v>
      </c>
      <c r="Y8" s="82">
        <f>+'Project Ostelliere'!Y8</f>
        <v>33.915057915057915</v>
      </c>
      <c r="Z8" s="82">
        <f>+'Project Ostelliere'!Z8</f>
        <v>1.5296620950857143</v>
      </c>
      <c r="AA8" s="82">
        <f>+'Project Ostelliere'!AA8</f>
        <v>0.53015757724130141</v>
      </c>
      <c r="AB8" s="82">
        <f>+'Project Ostelliere'!AB8</f>
        <v>0</v>
      </c>
      <c r="AC8" s="83">
        <f t="shared" si="2"/>
        <v>131.59700183822656</v>
      </c>
      <c r="AD8" s="93">
        <f t="shared" si="3"/>
        <v>65.79850091911328</v>
      </c>
      <c r="AE8" s="93">
        <f>+'REVENUE DATA'!C8</f>
        <v>250</v>
      </c>
      <c r="AF8" s="93">
        <f t="shared" si="4"/>
        <v>184.20149908088672</v>
      </c>
      <c r="AG8" s="173">
        <f t="shared" si="5"/>
        <v>2.7994786584473612</v>
      </c>
      <c r="AH8" s="93">
        <f t="shared" si="6"/>
        <v>500</v>
      </c>
      <c r="AI8" s="93">
        <f t="shared" si="7"/>
        <v>368.40299816177344</v>
      </c>
    </row>
    <row r="9" spans="1:36" x14ac:dyDescent="0.3">
      <c r="A9" s="223"/>
      <c r="B9" s="4" t="str">
        <f>+'Project Ostelliere'!B9</f>
        <v>OSTELLIERE</v>
      </c>
      <c r="C9" s="4" t="str">
        <f>+'Project Ostelliere'!C9</f>
        <v>Porta riviste</v>
      </c>
      <c r="D9" s="5">
        <f>+'Project Ostelliere'!D9</f>
        <v>10</v>
      </c>
      <c r="E9" s="5">
        <f>+'Project Ostelliere'!E9</f>
        <v>10</v>
      </c>
      <c r="F9" s="5">
        <f>+'Project Ostelliere'!F9</f>
        <v>0.42</v>
      </c>
      <c r="G9" s="5">
        <f>+'Project Ostelliere'!G9</f>
        <v>42</v>
      </c>
      <c r="H9" s="4">
        <f>+'Project Ostelliere'!H9</f>
        <v>3.5606798E-3</v>
      </c>
      <c r="I9" s="6">
        <f>+'Project Ostelliere'!I9</f>
        <v>9.890777222222221</v>
      </c>
      <c r="J9" s="6">
        <f>+'Project Ostelliere'!J9</f>
        <v>8.9016994999999994</v>
      </c>
      <c r="R9" s="5">
        <f>+'Project Ostelliere'!R9</f>
        <v>2</v>
      </c>
      <c r="S9" s="6">
        <f>+'Project Ostelliere'!S9</f>
        <v>84</v>
      </c>
      <c r="T9" s="6">
        <f>+'Project Ostelliere'!T9</f>
        <v>19.781554444444442</v>
      </c>
      <c r="U9" s="6">
        <f>+'Project Ostelliere'!U9</f>
        <v>17.803398999999999</v>
      </c>
      <c r="V9" s="81">
        <f>+'Project Ostelliere'!V9</f>
        <v>0.71081793914767988</v>
      </c>
      <c r="W9" s="82">
        <f>+'Project Ostelliere'!W9</f>
        <v>0.12086727581099999</v>
      </c>
      <c r="X9" s="82">
        <f>+'Project Ostelliere'!X9</f>
        <v>13.230000000000002</v>
      </c>
      <c r="Y9" s="82">
        <f>+'Project Ostelliere'!Y9</f>
        <v>4.9459459459459456</v>
      </c>
      <c r="Z9" s="82">
        <f>+'Project Ostelliere'!Z9</f>
        <v>0.22307572219999999</v>
      </c>
      <c r="AA9" s="82">
        <f>+'Project Ostelliere'!AA9</f>
        <v>2.2931033638887142</v>
      </c>
      <c r="AB9" s="82">
        <f>+'Project Ostelliere'!AB9</f>
        <v>0</v>
      </c>
      <c r="AC9" s="83">
        <f t="shared" si="2"/>
        <v>21.523810246993346</v>
      </c>
      <c r="AD9" s="93">
        <f t="shared" si="3"/>
        <v>10.761905123496673</v>
      </c>
      <c r="AE9" s="93">
        <f>+'REVENUE DATA'!C9</f>
        <v>130</v>
      </c>
      <c r="AF9" s="93">
        <f t="shared" si="4"/>
        <v>119.23809487650333</v>
      </c>
      <c r="AG9" s="173">
        <f t="shared" si="5"/>
        <v>11.079645611832103</v>
      </c>
      <c r="AH9" s="93">
        <f t="shared" si="6"/>
        <v>260</v>
      </c>
      <c r="AI9" s="93">
        <f t="shared" si="7"/>
        <v>238.47618975300665</v>
      </c>
    </row>
    <row r="10" spans="1:36" x14ac:dyDescent="0.3">
      <c r="A10" s="223"/>
      <c r="B10" s="4" t="str">
        <f>+'Project Ostelliere'!B10</f>
        <v>OSTELLIERE</v>
      </c>
      <c r="C10" s="4" t="str">
        <f>+'Project Ostelliere'!C10</f>
        <v>Lampada 90 grossa</v>
      </c>
      <c r="D10" s="5">
        <f>+'Project Ostelliere'!D10</f>
        <v>8</v>
      </c>
      <c r="E10" s="5">
        <f>+'Project Ostelliere'!E10</f>
        <v>10</v>
      </c>
      <c r="F10" s="5">
        <f>+'Project Ostelliere'!F10</f>
        <v>1.39</v>
      </c>
      <c r="G10" s="5">
        <f>+'Project Ostelliere'!G10</f>
        <v>99</v>
      </c>
      <c r="H10" s="4">
        <f>+'Project Ostelliere'!H10</f>
        <v>1.7366300000000001E-3</v>
      </c>
      <c r="I10" s="6">
        <f>+'Project Ostelliere'!I10</f>
        <v>4.8239722222222232</v>
      </c>
      <c r="J10" s="6">
        <f>+'Project Ostelliere'!J10</f>
        <v>4.3415750000000006</v>
      </c>
      <c r="R10" s="5">
        <f>+'Project Ostelliere'!R10</f>
        <v>1</v>
      </c>
      <c r="S10" s="6">
        <f>+'Project Ostelliere'!S10</f>
        <v>99</v>
      </c>
      <c r="T10" s="6">
        <f>+'Project Ostelliere'!T10</f>
        <v>4.8239722222222232</v>
      </c>
      <c r="U10" s="6">
        <f>+'Project Ostelliere'!U10</f>
        <v>4.3415750000000006</v>
      </c>
      <c r="V10" s="81">
        <f>+'Project Ostelliere'!V10</f>
        <v>0.83774971399547993</v>
      </c>
      <c r="W10" s="82">
        <f>+'Project Ostelliere'!W10</f>
        <v>2.9474952675000003E-2</v>
      </c>
      <c r="X10" s="82">
        <f>+'Project Ostelliere'!X10</f>
        <v>15.592500000000003</v>
      </c>
      <c r="Y10" s="82">
        <f>+'Project Ostelliere'!Y10</f>
        <v>5.8291505791505793</v>
      </c>
      <c r="Z10" s="82">
        <f>+'Project Ostelliere'!Z10</f>
        <v>0.26291067259285716</v>
      </c>
      <c r="AA10" s="82">
        <f>+'Project Ostelliere'!AA10</f>
        <v>0.55920109621062508</v>
      </c>
      <c r="AB10" s="82">
        <f>+'Project Ostelliere'!AB10</f>
        <v>24</v>
      </c>
      <c r="AC10" s="83">
        <f t="shared" si="2"/>
        <v>47.110987014624541</v>
      </c>
      <c r="AD10" s="93">
        <f t="shared" si="3"/>
        <v>47.110987014624541</v>
      </c>
      <c r="AE10" s="93">
        <f>+'REVENUE DATA'!C10</f>
        <v>400</v>
      </c>
      <c r="AF10" s="93">
        <f t="shared" si="4"/>
        <v>352.88901298537547</v>
      </c>
      <c r="AG10" s="173">
        <f t="shared" si="5"/>
        <v>7.4905884029945931</v>
      </c>
      <c r="AH10" s="93">
        <f t="shared" si="6"/>
        <v>400</v>
      </c>
      <c r="AI10" s="93">
        <f t="shared" si="7"/>
        <v>352.88901298537547</v>
      </c>
    </row>
    <row r="11" spans="1:36" x14ac:dyDescent="0.3">
      <c r="A11" s="223"/>
      <c r="B11" s="4" t="str">
        <f>+'Project Ostelliere'!B11</f>
        <v>OSTELLIERE</v>
      </c>
      <c r="C11" s="4" t="str">
        <f>+'Project Ostelliere'!C11</f>
        <v>Lampada 90 piccola</v>
      </c>
      <c r="D11" s="5">
        <f>+'Project Ostelliere'!D11</f>
        <v>5</v>
      </c>
      <c r="E11" s="5">
        <f>+'Project Ostelliere'!E11</f>
        <v>10</v>
      </c>
      <c r="F11" s="5">
        <f>+'Project Ostelliere'!F11</f>
        <v>1.1499999999999999</v>
      </c>
      <c r="G11" s="5">
        <f>+'Project Ostelliere'!G11</f>
        <v>75</v>
      </c>
      <c r="H11" s="4">
        <f>+'Project Ostelliere'!H11</f>
        <v>8.1557296000000004E-4</v>
      </c>
      <c r="I11" s="6">
        <f>+'Project Ostelliere'!I11</f>
        <v>2.2654804444444445</v>
      </c>
      <c r="J11" s="6">
        <f>+'Project Ostelliere'!J11</f>
        <v>2.0389324000000002</v>
      </c>
      <c r="R11" s="5">
        <f>+'Project Ostelliere'!R11</f>
        <v>6</v>
      </c>
      <c r="S11" s="6">
        <f>+'Project Ostelliere'!S11</f>
        <v>450</v>
      </c>
      <c r="T11" s="6">
        <f>+'Project Ostelliere'!T11</f>
        <v>13.592882666666668</v>
      </c>
      <c r="U11" s="6">
        <f>+'Project Ostelliere'!U11</f>
        <v>12.233594400000001</v>
      </c>
      <c r="V11" s="81">
        <f>+'Project Ostelliere'!V11</f>
        <v>3.8079532454339997</v>
      </c>
      <c r="W11" s="82">
        <f>+'Project Ostelliere'!W11</f>
        <v>8.3053872381600002E-2</v>
      </c>
      <c r="X11" s="82">
        <f>+'Project Ostelliere'!X11</f>
        <v>70.875000000000014</v>
      </c>
      <c r="Y11" s="82">
        <f>+'Project Ostelliere'!Y11</f>
        <v>26.496138996138995</v>
      </c>
      <c r="Z11" s="82">
        <f>+'Project Ostelliere'!Z11</f>
        <v>1.1950485117857144</v>
      </c>
      <c r="AA11" s="82">
        <f>+'Project Ostelliere'!AA11</f>
        <v>1.5757045309769298</v>
      </c>
      <c r="AB11" s="82">
        <f>+'Project Ostelliere'!AB11</f>
        <v>144</v>
      </c>
      <c r="AC11" s="83">
        <f t="shared" si="2"/>
        <v>248.03289915671726</v>
      </c>
      <c r="AD11" s="93">
        <f t="shared" si="3"/>
        <v>41.338816526119544</v>
      </c>
      <c r="AE11" s="93">
        <f>+'REVENUE DATA'!C11</f>
        <v>200</v>
      </c>
      <c r="AF11" s="93">
        <f t="shared" si="4"/>
        <v>158.66118347388044</v>
      </c>
      <c r="AG11" s="173">
        <f t="shared" si="5"/>
        <v>3.8380678695441572</v>
      </c>
      <c r="AH11" s="93">
        <f t="shared" si="6"/>
        <v>1200</v>
      </c>
      <c r="AI11" s="93">
        <f t="shared" si="7"/>
        <v>951.96710084328276</v>
      </c>
    </row>
    <row r="12" spans="1:36" x14ac:dyDescent="0.3">
      <c r="A12" s="223"/>
      <c r="B12" s="4" t="str">
        <f>+'Project Ostelliere'!B12</f>
        <v>OSTELLIERE</v>
      </c>
      <c r="C12" s="4" t="str">
        <f>+'Project Ostelliere'!C12</f>
        <v>Vaso Logo</v>
      </c>
      <c r="D12" s="5">
        <f>+'Project Ostelliere'!D12</f>
        <v>5</v>
      </c>
      <c r="E12" s="5">
        <f>+'Project Ostelliere'!E12</f>
        <v>10</v>
      </c>
      <c r="F12" s="5">
        <f>+'Project Ostelliere'!F12</f>
        <v>0.39</v>
      </c>
      <c r="G12" s="5">
        <f>+'Project Ostelliere'!G12</f>
        <v>39</v>
      </c>
      <c r="H12" s="4">
        <f>+'Project Ostelliere'!H12</f>
        <v>1.1639584900000001E-3</v>
      </c>
      <c r="I12" s="6">
        <f>+'Project Ostelliere'!I12</f>
        <v>3.2332180277777778</v>
      </c>
      <c r="J12" s="6">
        <f>+'Project Ostelliere'!J12</f>
        <v>2.9098962250000002</v>
      </c>
      <c r="R12" s="5">
        <f>+'Project Ostelliere'!R12</f>
        <v>3</v>
      </c>
      <c r="S12" s="6">
        <f>+'Project Ostelliere'!S12</f>
        <v>117</v>
      </c>
      <c r="T12" s="6">
        <f>+'Project Ostelliere'!T12</f>
        <v>9.6996540833333338</v>
      </c>
      <c r="U12" s="6">
        <f>+'Project Ostelliere'!U12</f>
        <v>8.7296886750000002</v>
      </c>
      <c r="V12" s="81">
        <f>+'Project Ostelliere'!V12</f>
        <v>0.99006784381283996</v>
      </c>
      <c r="W12" s="82">
        <f>+'Project Ostelliere'!W12</f>
        <v>5.9265856414574998E-2</v>
      </c>
      <c r="X12" s="82">
        <f>+'Project Ostelliere'!X12</f>
        <v>18.427500000000002</v>
      </c>
      <c r="Y12" s="82">
        <f>+'Project Ostelliere'!Y12</f>
        <v>6.8889961389961387</v>
      </c>
      <c r="Z12" s="82">
        <f>+'Project Ostelliere'!Z12</f>
        <v>0.31071261306428571</v>
      </c>
      <c r="AA12" s="82">
        <f>+'Project Ostelliere'!AA12</f>
        <v>1.1243964406091058</v>
      </c>
      <c r="AB12" s="82">
        <f>+'Project Ostelliere'!AB12</f>
        <v>0</v>
      </c>
      <c r="AC12" s="83">
        <f t="shared" si="2"/>
        <v>27.800938892896948</v>
      </c>
      <c r="AD12" s="93">
        <f t="shared" si="3"/>
        <v>9.2669796309656487</v>
      </c>
      <c r="AE12" s="93">
        <f>+'REVENUE DATA'!C12</f>
        <v>310</v>
      </c>
      <c r="AF12" s="93">
        <f t="shared" si="4"/>
        <v>300.73302036903436</v>
      </c>
      <c r="AG12" s="173">
        <f t="shared" si="5"/>
        <v>32.452107627833108</v>
      </c>
      <c r="AH12" s="93">
        <f t="shared" si="6"/>
        <v>930</v>
      </c>
      <c r="AI12" s="93">
        <f t="shared" si="7"/>
        <v>902.19906110710303</v>
      </c>
    </row>
    <row r="13" spans="1:36" x14ac:dyDescent="0.3">
      <c r="A13" s="223"/>
      <c r="B13" s="4" t="str">
        <f>+'Project Ostelliere'!B13</f>
        <v>OSTELLIERE</v>
      </c>
      <c r="C13" s="4" t="str">
        <f>+'Project Ostelliere'!C13</f>
        <v>Copri candela</v>
      </c>
      <c r="D13" s="5">
        <f>+'Project Ostelliere'!D13</f>
        <v>4</v>
      </c>
      <c r="E13" s="5">
        <f>+'Project Ostelliere'!E13</f>
        <v>5</v>
      </c>
      <c r="F13" s="5">
        <f>+'Project Ostelliere'!F13</f>
        <v>0.34</v>
      </c>
      <c r="G13" s="5">
        <f>+'Project Ostelliere'!G13</f>
        <v>34</v>
      </c>
      <c r="H13" s="4">
        <f>+'Project Ostelliere'!H13</f>
        <v>2.3780405299999999E-4</v>
      </c>
      <c r="I13" s="6">
        <f>+'Project Ostelliere'!I13</f>
        <v>0.66056681388888883</v>
      </c>
      <c r="J13" s="6">
        <f>+'Project Ostelliere'!J13</f>
        <v>0.59451013249999995</v>
      </c>
      <c r="R13" s="5">
        <f>+'Project Ostelliere'!R13</f>
        <v>15</v>
      </c>
      <c r="S13" s="6">
        <f>+'Project Ostelliere'!S13</f>
        <v>510</v>
      </c>
      <c r="T13" s="6">
        <f>+'Project Ostelliere'!T13</f>
        <v>9.9085022083333332</v>
      </c>
      <c r="U13" s="6">
        <f>+'Project Ostelliere'!U13</f>
        <v>8.9176519874999993</v>
      </c>
      <c r="V13" s="81">
        <f>+'Project Ostelliere'!V13</f>
        <v>4.3156803448251999</v>
      </c>
      <c r="W13" s="82">
        <f>+'Project Ostelliere'!W13</f>
        <v>6.0541939343137494E-2</v>
      </c>
      <c r="X13" s="82">
        <f>+'Project Ostelliere'!X13</f>
        <v>80.325000000000017</v>
      </c>
      <c r="Y13" s="82">
        <f>+'Project Ostelliere'!Y13</f>
        <v>30.02895752895753</v>
      </c>
      <c r="Z13" s="82">
        <f>+'Project Ostelliere'!Z13</f>
        <v>1.3543883133571428</v>
      </c>
      <c r="AA13" s="82">
        <f>+'Project Ostelliere'!AA13</f>
        <v>1.1486063852484083</v>
      </c>
      <c r="AB13" s="82">
        <f>+'Project Ostelliere'!AB13</f>
        <v>0</v>
      </c>
      <c r="AC13" s="83">
        <f t="shared" si="2"/>
        <v>117.23317451173145</v>
      </c>
      <c r="AD13" s="93">
        <f t="shared" si="3"/>
        <v>7.8155449674487629</v>
      </c>
      <c r="AE13" s="93">
        <f>+'REVENUE DATA'!C13</f>
        <v>20</v>
      </c>
      <c r="AF13" s="93">
        <f t="shared" si="4"/>
        <v>12.184455032551238</v>
      </c>
      <c r="AG13" s="173">
        <f t="shared" si="5"/>
        <v>1.5590026138034778</v>
      </c>
      <c r="AH13" s="93">
        <f t="shared" si="6"/>
        <v>300</v>
      </c>
      <c r="AI13" s="93">
        <f t="shared" si="7"/>
        <v>182.76682548826855</v>
      </c>
    </row>
    <row r="14" spans="1:36" x14ac:dyDescent="0.3">
      <c r="A14" s="223"/>
      <c r="B14" s="4" t="str">
        <f>+'Project Ostelliere'!B14</f>
        <v>OSTELLIERE</v>
      </c>
      <c r="C14" s="4" t="str">
        <f>+'Project Ostelliere'!C14</f>
        <v xml:space="preserve">Vaso Grosso </v>
      </c>
      <c r="D14" s="5">
        <f>+'Project Ostelliere'!D14</f>
        <v>4</v>
      </c>
      <c r="E14" s="5">
        <f>+'Project Ostelliere'!E14</f>
        <v>5</v>
      </c>
      <c r="F14" s="5">
        <f>+'Project Ostelliere'!F14</f>
        <v>1.31</v>
      </c>
      <c r="G14" s="5">
        <f>+'Project Ostelliere'!G14</f>
        <v>91</v>
      </c>
      <c r="H14" s="4">
        <f>+'Project Ostelliere'!H14</f>
        <v>9.52764444E-4</v>
      </c>
      <c r="I14" s="6">
        <f>+'Project Ostelliere'!I14</f>
        <v>2.6465679</v>
      </c>
      <c r="J14" s="6">
        <f>+'Project Ostelliere'!J14</f>
        <v>2.3819111099999999</v>
      </c>
      <c r="R14" s="5">
        <f>+'Project Ostelliere'!R14</f>
        <v>2</v>
      </c>
      <c r="S14" s="6">
        <f>+'Project Ostelliere'!S14</f>
        <v>182</v>
      </c>
      <c r="T14" s="6">
        <f>+'Project Ostelliere'!T14</f>
        <v>5.2931357999999999</v>
      </c>
      <c r="U14" s="6">
        <f>+'Project Ostelliere'!U14</f>
        <v>4.7638222199999998</v>
      </c>
      <c r="V14" s="81">
        <f>+'Project Ostelliere'!V14</f>
        <v>1.5401055348199733</v>
      </c>
      <c r="W14" s="82">
        <f>+'Project Ostelliere'!W14</f>
        <v>3.2341589051580001E-2</v>
      </c>
      <c r="X14" s="82">
        <f>+'Project Ostelliere'!X14</f>
        <v>28.665000000000006</v>
      </c>
      <c r="Y14" s="82">
        <f>+'Project Ostelliere'!Y14</f>
        <v>10.716216216216216</v>
      </c>
      <c r="Z14" s="82">
        <f>+'Project Ostelliere'!Z14</f>
        <v>0.48333073143333333</v>
      </c>
      <c r="AA14" s="82">
        <f>+'Project Ostelliere'!AA14</f>
        <v>0.61358714465983732</v>
      </c>
      <c r="AB14" s="82">
        <f>+'Project Ostelliere'!AB14</f>
        <v>0</v>
      </c>
      <c r="AC14" s="83">
        <f t="shared" si="2"/>
        <v>42.050581216180944</v>
      </c>
      <c r="AD14" s="93">
        <f t="shared" si="3"/>
        <v>21.025290608090472</v>
      </c>
      <c r="AE14" s="93">
        <f>+'REVENUE DATA'!C14</f>
        <v>200</v>
      </c>
      <c r="AF14" s="93">
        <f t="shared" si="4"/>
        <v>178.97470939190953</v>
      </c>
      <c r="AG14" s="173">
        <f t="shared" si="5"/>
        <v>8.5123536567452049</v>
      </c>
      <c r="AH14" s="93">
        <f t="shared" si="6"/>
        <v>400</v>
      </c>
      <c r="AI14" s="93">
        <f t="shared" si="7"/>
        <v>357.94941878381906</v>
      </c>
    </row>
    <row r="15" spans="1:36" x14ac:dyDescent="0.3">
      <c r="A15" s="223"/>
      <c r="B15" s="4" t="str">
        <f>+'Project Orto'!B5</f>
        <v>ORTO</v>
      </c>
      <c r="C15" s="4" t="str">
        <f>+'Project Orto'!C5</f>
        <v>Bicchiere curve dritto</v>
      </c>
      <c r="D15" s="5">
        <f>+'Project Orto'!D5</f>
        <v>2</v>
      </c>
      <c r="E15" s="5">
        <f>+'Project Orto'!E5</f>
        <v>2</v>
      </c>
      <c r="F15" s="5">
        <f>+'Project Orto'!F5</f>
        <v>0.26</v>
      </c>
      <c r="G15" s="5">
        <f>+'Project Orto'!G5</f>
        <v>26</v>
      </c>
      <c r="H15" s="4">
        <f>+'Project Orto'!H5</f>
        <v>1.6928511099999999E-4</v>
      </c>
      <c r="I15" s="6">
        <f>+'Project Orto'!I5</f>
        <v>0.47023641944444439</v>
      </c>
      <c r="J15" s="6">
        <f>+'Project Orto'!J5</f>
        <v>0.42321277749999997</v>
      </c>
      <c r="R15" s="5">
        <f>+'Project Orto'!R5</f>
        <v>12</v>
      </c>
      <c r="S15" s="6">
        <f>+'Project Orto'!S5</f>
        <v>312</v>
      </c>
      <c r="T15" s="6">
        <f>+'Project Orto'!T5</f>
        <v>5.6428370333333326</v>
      </c>
      <c r="U15" s="6">
        <f>+'Project Orto'!U5</f>
        <v>5.0785533300000001</v>
      </c>
      <c r="V15" s="81">
        <f>+'Project Orto'!V5</f>
        <v>2.6401809168342401</v>
      </c>
      <c r="W15" s="82">
        <f>+'Project Orto'!W5</f>
        <v>3.4478298557370002E-2</v>
      </c>
      <c r="X15" s="82">
        <f>+'Project Orto'!X5</f>
        <v>49.140000000000008</v>
      </c>
      <c r="Y15" s="82">
        <f>+'Project Orto'!Y5</f>
        <v>18.37065637065637</v>
      </c>
      <c r="Z15" s="82">
        <f>+'Project Orto'!Z5</f>
        <v>0.82856696817142861</v>
      </c>
      <c r="AA15" s="82">
        <f>+'Project Orto'!AA5</f>
        <v>0.65412496370559525</v>
      </c>
      <c r="AB15" s="82">
        <f>+'Project Orto'!AB5</f>
        <v>0</v>
      </c>
      <c r="AC15" s="83">
        <f t="shared" si="2"/>
        <v>71.668007517925005</v>
      </c>
      <c r="AD15" s="93">
        <f t="shared" si="3"/>
        <v>5.9723339598270835</v>
      </c>
      <c r="AE15" s="93">
        <f>+'REVENUE DATA'!C15</f>
        <v>15</v>
      </c>
      <c r="AF15" s="93">
        <f t="shared" si="4"/>
        <v>9.0276660401729174</v>
      </c>
      <c r="AG15" s="173">
        <f t="shared" si="5"/>
        <v>1.5115809164218765</v>
      </c>
      <c r="AH15" s="93">
        <f t="shared" si="6"/>
        <v>180</v>
      </c>
      <c r="AI15" s="93">
        <f t="shared" si="7"/>
        <v>108.33199248207499</v>
      </c>
    </row>
    <row r="16" spans="1:36" x14ac:dyDescent="0.3">
      <c r="A16" s="223"/>
      <c r="B16" s="4" t="str">
        <f>+'Project Orto'!B6</f>
        <v>ORTO</v>
      </c>
      <c r="C16" s="4" t="str">
        <f>+'Project Orto'!C6</f>
        <v>Bicchiere curve twist</v>
      </c>
      <c r="D16" s="5">
        <f>+'Project Orto'!D6</f>
        <v>2</v>
      </c>
      <c r="E16" s="5">
        <f>+'Project Orto'!E6</f>
        <v>2</v>
      </c>
      <c r="F16" s="5">
        <f>+'Project Orto'!F6</f>
        <v>0.25</v>
      </c>
      <c r="G16" s="5">
        <f>+'Project Orto'!G6</f>
        <v>25</v>
      </c>
      <c r="H16" s="4">
        <f>+'Project Orto'!H6</f>
        <v>1.69285896E-4</v>
      </c>
      <c r="I16" s="6">
        <f>+'Project Orto'!I6</f>
        <v>0.47023859999999995</v>
      </c>
      <c r="J16" s="6">
        <f>+'Project Orto'!J6</f>
        <v>0.42321473999999998</v>
      </c>
      <c r="R16" s="5">
        <f>+'Project Orto'!R6</f>
        <v>12</v>
      </c>
      <c r="S16" s="6">
        <f>+'Project Orto'!S6</f>
        <v>300</v>
      </c>
      <c r="T16" s="6">
        <f>+'Project Orto'!T6</f>
        <v>5.642863199999999</v>
      </c>
      <c r="U16" s="6">
        <f>+'Project Orto'!U6</f>
        <v>5.07857688</v>
      </c>
      <c r="V16" s="81">
        <f>+'Project Orto'!V6</f>
        <v>2.5386354969559997</v>
      </c>
      <c r="W16" s="82">
        <f>+'Project Orto'!W6</f>
        <v>3.4478458438320002E-2</v>
      </c>
      <c r="X16" s="82">
        <f>+'Project Orto'!X6</f>
        <v>47.250000000000007</v>
      </c>
      <c r="Y16" s="82">
        <f>+'Project Orto'!Y6</f>
        <v>17.664092664092664</v>
      </c>
      <c r="Z16" s="82">
        <f>+'Project Orto'!Z6</f>
        <v>0.79669900785714287</v>
      </c>
      <c r="AA16" s="82">
        <f>+'Project Orto'!AA6</f>
        <v>0.65412799697942225</v>
      </c>
      <c r="AB16" s="82">
        <f>+'Project Orto'!AB6</f>
        <v>0</v>
      </c>
      <c r="AC16" s="83">
        <f t="shared" si="2"/>
        <v>68.938033624323552</v>
      </c>
      <c r="AD16" s="93">
        <f t="shared" si="3"/>
        <v>5.7448361353602957</v>
      </c>
      <c r="AE16" s="93">
        <f>+'REVENUE DATA'!C16</f>
        <v>15</v>
      </c>
      <c r="AF16" s="93">
        <f t="shared" si="4"/>
        <v>9.2551638646397052</v>
      </c>
      <c r="AG16" s="173">
        <f t="shared" si="5"/>
        <v>1.6110405321524901</v>
      </c>
      <c r="AH16" s="93">
        <f t="shared" si="6"/>
        <v>180</v>
      </c>
      <c r="AI16" s="93">
        <f t="shared" si="7"/>
        <v>111.06196637567645</v>
      </c>
    </row>
    <row r="17" spans="1:35" x14ac:dyDescent="0.3">
      <c r="A17" s="223"/>
      <c r="B17" s="4" t="str">
        <f>+'Project Orto'!B7</f>
        <v>ORTO</v>
      </c>
      <c r="C17" s="4" t="str">
        <f>+'Project Orto'!C7</f>
        <v>Caraffa curva</v>
      </c>
      <c r="D17" s="5">
        <f>+'Project Orto'!D7</f>
        <v>2</v>
      </c>
      <c r="E17" s="5">
        <f>+'Project Orto'!E7</f>
        <v>2</v>
      </c>
      <c r="F17" s="5">
        <f>+'Project Orto'!F7</f>
        <v>0.56999999999999995</v>
      </c>
      <c r="G17" s="5">
        <f>+'Project Orto'!G7</f>
        <v>57</v>
      </c>
      <c r="H17" s="4">
        <f>+'Project Orto'!H7</f>
        <v>3.69342133E-4</v>
      </c>
      <c r="I17" s="6">
        <f>+'Project Orto'!I7</f>
        <v>1.0259503694444445</v>
      </c>
      <c r="J17" s="6">
        <f>+'Project Orto'!J7</f>
        <v>0.92335533250000001</v>
      </c>
      <c r="R17" s="5">
        <f>+'Project Orto'!R7</f>
        <v>2</v>
      </c>
      <c r="S17" s="6">
        <f>+'Project Orto'!S7</f>
        <v>114</v>
      </c>
      <c r="T17" s="6">
        <f>+'Project Orto'!T7</f>
        <v>2.051900738888889</v>
      </c>
      <c r="U17" s="6">
        <f>+'Project Orto'!U7</f>
        <v>1.846710665</v>
      </c>
      <c r="V17" s="81">
        <f>+'Project Orto'!V7</f>
        <v>0.96468148884327987</v>
      </c>
      <c r="W17" s="82">
        <f>+'Project Orto'!W7</f>
        <v>1.2537318704685E-2</v>
      </c>
      <c r="X17" s="82">
        <f>+'Project Orto'!X7</f>
        <v>17.955000000000002</v>
      </c>
      <c r="Y17" s="82">
        <f>+'Project Orto'!Y7</f>
        <v>6.7123552123552122</v>
      </c>
      <c r="Z17" s="82">
        <f>+'Project Orto'!Z7</f>
        <v>0.30274562298571428</v>
      </c>
      <c r="AA17" s="82">
        <f>+'Project Orto'!AA7</f>
        <v>0.23785898625541477</v>
      </c>
      <c r="AB17" s="82">
        <f>+'Project Orto'!AB7</f>
        <v>0</v>
      </c>
      <c r="AC17" s="83">
        <f t="shared" si="2"/>
        <v>26.185178629144307</v>
      </c>
      <c r="AD17" s="93">
        <f t="shared" si="3"/>
        <v>13.092589314572153</v>
      </c>
      <c r="AE17" s="93">
        <f>+'REVENUE DATA'!C17</f>
        <v>30</v>
      </c>
      <c r="AF17" s="93">
        <f t="shared" si="4"/>
        <v>16.907410685427848</v>
      </c>
      <c r="AG17" s="173">
        <f t="shared" si="5"/>
        <v>1.2913725680381474</v>
      </c>
      <c r="AH17" s="93">
        <f t="shared" si="6"/>
        <v>60</v>
      </c>
      <c r="AI17" s="93">
        <f t="shared" si="7"/>
        <v>33.814821370855697</v>
      </c>
    </row>
    <row r="18" spans="1:35" x14ac:dyDescent="0.3">
      <c r="A18" s="223"/>
      <c r="B18" s="4" t="str">
        <f>+'Project Orto'!B8</f>
        <v>ORTO</v>
      </c>
      <c r="C18" s="4" t="str">
        <f>+'Project Orto'!C8</f>
        <v>Caraffa colonna dritta</v>
      </c>
      <c r="D18" s="5">
        <f>+'Project Orto'!D8</f>
        <v>2</v>
      </c>
      <c r="E18" s="5">
        <f>+'Project Orto'!E8</f>
        <v>1</v>
      </c>
      <c r="F18" s="5">
        <f>+'Project Orto'!F8</f>
        <v>1.4</v>
      </c>
      <c r="G18" s="5">
        <f>+'Project Orto'!G8</f>
        <v>100</v>
      </c>
      <c r="H18" s="4">
        <f>+'Project Orto'!H8</f>
        <v>3.2796365999999998E-4</v>
      </c>
      <c r="I18" s="6">
        <f>+'Project Orto'!I8</f>
        <v>0.91101016666666657</v>
      </c>
      <c r="J18" s="6">
        <f>+'Project Orto'!J8</f>
        <v>0.81990914999999998</v>
      </c>
      <c r="R18" s="5">
        <f>+'Project Orto'!R8</f>
        <v>2</v>
      </c>
      <c r="S18" s="6">
        <f>+'Project Orto'!S8</f>
        <v>200</v>
      </c>
      <c r="T18" s="6">
        <f>+'Project Orto'!T8</f>
        <v>1.8220203333333331</v>
      </c>
      <c r="U18" s="6">
        <f>+'Project Orto'!U8</f>
        <v>1.6398183</v>
      </c>
      <c r="V18" s="81">
        <f>+'Project Orto'!V8</f>
        <v>1.6924236646373332</v>
      </c>
      <c r="W18" s="82">
        <f>+'Project Orto'!W8</f>
        <v>1.1132726438699999E-2</v>
      </c>
      <c r="X18" s="82">
        <f>+'Project Orto'!X8</f>
        <v>31.500000000000007</v>
      </c>
      <c r="Y18" s="82">
        <f>+'Project Orto'!Y8</f>
        <v>11.776061776061777</v>
      </c>
      <c r="Z18" s="82">
        <f>+'Project Orto'!Z8</f>
        <v>0.53113267190476188</v>
      </c>
      <c r="AA18" s="82">
        <f>+'Project Orto'!AA8</f>
        <v>0.21121095246454188</v>
      </c>
      <c r="AB18" s="82">
        <f>+'Project Orto'!AB8</f>
        <v>0</v>
      </c>
      <c r="AC18" s="83">
        <f t="shared" si="2"/>
        <v>45.72196179150712</v>
      </c>
      <c r="AD18" s="93">
        <f t="shared" si="3"/>
        <v>22.86098089575356</v>
      </c>
      <c r="AE18" s="93">
        <f>+'REVENUE DATA'!C18</f>
        <v>30</v>
      </c>
      <c r="AF18" s="93">
        <f t="shared" si="4"/>
        <v>7.1390191042464402</v>
      </c>
      <c r="AG18" s="173">
        <f t="shared" si="5"/>
        <v>0.31227964962660537</v>
      </c>
      <c r="AH18" s="93">
        <f t="shared" si="6"/>
        <v>60</v>
      </c>
      <c r="AI18" s="93">
        <f t="shared" si="7"/>
        <v>14.27803820849288</v>
      </c>
    </row>
    <row r="19" spans="1:35" x14ac:dyDescent="0.3">
      <c r="A19" s="223"/>
      <c r="B19" s="4" t="str">
        <f>+'Project Orto'!B9</f>
        <v>ORTO</v>
      </c>
      <c r="C19" s="4" t="str">
        <f>+'Project Orto'!C9</f>
        <v>Caraffa colonna twist1</v>
      </c>
      <c r="D19" s="5">
        <f>+'Project Orto'!D9</f>
        <v>2</v>
      </c>
      <c r="E19" s="5">
        <f>+'Project Orto'!E9</f>
        <v>1</v>
      </c>
      <c r="F19" s="5">
        <f>+'Project Orto'!F9</f>
        <v>1.41</v>
      </c>
      <c r="G19" s="5">
        <f>+'Project Orto'!G9</f>
        <v>101</v>
      </c>
      <c r="H19" s="4">
        <f>+'Project Orto'!H9</f>
        <v>3.323221E-4</v>
      </c>
      <c r="I19" s="6">
        <f>+'Project Orto'!I9</f>
        <v>0.92311694444444448</v>
      </c>
      <c r="J19" s="6">
        <f>+'Project Orto'!J9</f>
        <v>0.83080525000000005</v>
      </c>
      <c r="R19" s="5">
        <f>+'Project Orto'!R9</f>
        <v>2</v>
      </c>
      <c r="S19" s="6">
        <f>+'Project Orto'!S9</f>
        <v>202</v>
      </c>
      <c r="T19" s="6">
        <f>+'Project Orto'!T9</f>
        <v>1.846233888888889</v>
      </c>
      <c r="U19" s="6">
        <f>+'Project Orto'!U9</f>
        <v>1.6616105000000001</v>
      </c>
      <c r="V19" s="81">
        <f>+'Project Orto'!V9</f>
        <v>1.7093479012837065</v>
      </c>
      <c r="W19" s="82">
        <f>+'Project Orto'!W9</f>
        <v>1.12806736845E-2</v>
      </c>
      <c r="X19" s="82">
        <f>+'Project Orto'!X9</f>
        <v>31.815000000000005</v>
      </c>
      <c r="Y19" s="82">
        <f>+'Project Orto'!Y9</f>
        <v>11.893822393822393</v>
      </c>
      <c r="Z19" s="82">
        <f>+'Project Orto'!Z9</f>
        <v>0.53644399862380954</v>
      </c>
      <c r="AA19" s="82">
        <f>+'Project Orto'!AA9</f>
        <v>0.21401781912671894</v>
      </c>
      <c r="AB19" s="82">
        <f>+'Project Orto'!AB9</f>
        <v>0</v>
      </c>
      <c r="AC19" s="83">
        <f t="shared" si="2"/>
        <v>46.179912786541131</v>
      </c>
      <c r="AD19" s="93">
        <f t="shared" si="3"/>
        <v>23.089956393270565</v>
      </c>
      <c r="AE19" s="93">
        <f>+'REVENUE DATA'!C19</f>
        <v>30</v>
      </c>
      <c r="AF19" s="93">
        <f t="shared" si="4"/>
        <v>6.9100436067294346</v>
      </c>
      <c r="AG19" s="173">
        <f t="shared" si="5"/>
        <v>0.29926620427673595</v>
      </c>
      <c r="AH19" s="93">
        <f t="shared" si="6"/>
        <v>60</v>
      </c>
      <c r="AI19" s="93">
        <f t="shared" si="7"/>
        <v>13.820087213458869</v>
      </c>
    </row>
    <row r="20" spans="1:35" x14ac:dyDescent="0.3">
      <c r="A20" s="223"/>
      <c r="B20" s="4" t="str">
        <f>+'Project Orto'!B10</f>
        <v>ORTO</v>
      </c>
      <c r="C20" s="4" t="str">
        <f>+'Project Orto'!C10</f>
        <v>Caraffa colonna twist2</v>
      </c>
      <c r="D20" s="5">
        <f>+'Project Orto'!D10</f>
        <v>2</v>
      </c>
      <c r="E20" s="5">
        <f>+'Project Orto'!E10</f>
        <v>1</v>
      </c>
      <c r="F20" s="5">
        <f>+'Project Orto'!F10</f>
        <v>1.45</v>
      </c>
      <c r="G20" s="5">
        <f>+'Project Orto'!G10</f>
        <v>105</v>
      </c>
      <c r="H20" s="4">
        <f>+'Project Orto'!H10</f>
        <v>3.4271101000000001E-4</v>
      </c>
      <c r="I20" s="6">
        <f>+'Project Orto'!I10</f>
        <v>0.95197502777777776</v>
      </c>
      <c r="J20" s="6">
        <f>+'Project Orto'!J10</f>
        <v>0.85677752500000004</v>
      </c>
      <c r="R20" s="5">
        <f>+'Project Orto'!R10</f>
        <v>2</v>
      </c>
      <c r="S20" s="6">
        <f>+'Project Orto'!S10</f>
        <v>210</v>
      </c>
      <c r="T20" s="6">
        <f>+'Project Orto'!T10</f>
        <v>1.9039500555555555</v>
      </c>
      <c r="U20" s="6">
        <f>+'Project Orto'!U10</f>
        <v>1.7135550500000001</v>
      </c>
      <c r="V20" s="81">
        <f>+'Project Orto'!V10</f>
        <v>1.7770448478691998</v>
      </c>
      <c r="W20" s="82">
        <f>+'Project Orto'!W10</f>
        <v>1.1633325234450001E-2</v>
      </c>
      <c r="X20" s="82">
        <f>+'Project Orto'!X10</f>
        <v>33.075000000000003</v>
      </c>
      <c r="Y20" s="82">
        <f>+'Project Orto'!Y10</f>
        <v>12.364864864864865</v>
      </c>
      <c r="Z20" s="82">
        <f>+'Project Orto'!Z10</f>
        <v>0.55768930550000007</v>
      </c>
      <c r="AA20" s="82">
        <f>+'Project Orto'!AA10</f>
        <v>0.22070835177953907</v>
      </c>
      <c r="AB20" s="82">
        <f>+'Project Orto'!AB10</f>
        <v>0</v>
      </c>
      <c r="AC20" s="83">
        <f t="shared" si="2"/>
        <v>48.006940695248055</v>
      </c>
      <c r="AD20" s="93">
        <f t="shared" si="3"/>
        <v>24.003470347624027</v>
      </c>
      <c r="AE20" s="93">
        <f>+'REVENUE DATA'!C20</f>
        <v>30</v>
      </c>
      <c r="AF20" s="93">
        <f t="shared" si="4"/>
        <v>5.9965296523759726</v>
      </c>
      <c r="AG20" s="173">
        <f t="shared" si="5"/>
        <v>0.24981927885979771</v>
      </c>
      <c r="AH20" s="93">
        <f t="shared" si="6"/>
        <v>60</v>
      </c>
      <c r="AI20" s="93">
        <f t="shared" si="7"/>
        <v>11.993059304751945</v>
      </c>
    </row>
    <row r="21" spans="1:35" x14ac:dyDescent="0.3">
      <c r="A21" s="223"/>
      <c r="B21" s="4" t="str">
        <f>+'Project Orto'!B11</f>
        <v>ORTO</v>
      </c>
      <c r="C21" s="4" t="str">
        <f>+'Project Orto'!C11</f>
        <v>Caraffa colonna twist3</v>
      </c>
      <c r="D21" s="5">
        <f>+'Project Orto'!D11</f>
        <v>2</v>
      </c>
      <c r="E21" s="5">
        <f>+'Project Orto'!E11</f>
        <v>1</v>
      </c>
      <c r="F21" s="5">
        <f>+'Project Orto'!F11</f>
        <v>1.42</v>
      </c>
      <c r="G21" s="5">
        <f>+'Project Orto'!G11</f>
        <v>102</v>
      </c>
      <c r="H21" s="4">
        <f>+'Project Orto'!H11</f>
        <v>3.3727121999999998E-4</v>
      </c>
      <c r="I21" s="6">
        <f>+'Project Orto'!I11</f>
        <v>0.93686449999999988</v>
      </c>
      <c r="J21" s="6">
        <f>+'Project Orto'!J11</f>
        <v>0.8431780499999999</v>
      </c>
      <c r="R21" s="5">
        <f>+'Project Orto'!R11</f>
        <v>2</v>
      </c>
      <c r="S21" s="6">
        <f>+'Project Orto'!S11</f>
        <v>204</v>
      </c>
      <c r="T21" s="6">
        <f>+'Project Orto'!T11</f>
        <v>1.8737289999999998</v>
      </c>
      <c r="U21" s="6">
        <f>+'Project Orto'!U11</f>
        <v>1.6863560999999998</v>
      </c>
      <c r="V21" s="81">
        <f>+'Project Orto'!V11</f>
        <v>1.7262721379300801</v>
      </c>
      <c r="W21" s="82">
        <f>+'Project Orto'!W11</f>
        <v>1.1448671562899998E-2</v>
      </c>
      <c r="X21" s="82">
        <f>+'Project Orto'!X11</f>
        <v>32.130000000000003</v>
      </c>
      <c r="Y21" s="82">
        <f>+'Project Orto'!Y11</f>
        <v>12.011583011583012</v>
      </c>
      <c r="Z21" s="82">
        <f>+'Project Orto'!Z11</f>
        <v>0.5417553253428572</v>
      </c>
      <c r="AA21" s="82">
        <f>+'Project Orto'!AA11</f>
        <v>0.21720508795114082</v>
      </c>
      <c r="AB21" s="82">
        <f>+'Project Orto'!AB11</f>
        <v>0</v>
      </c>
      <c r="AC21" s="83">
        <f t="shared" si="2"/>
        <v>46.638264234369991</v>
      </c>
      <c r="AD21" s="93">
        <f t="shared" si="3"/>
        <v>23.319132117184996</v>
      </c>
      <c r="AE21" s="93">
        <f>+'REVENUE DATA'!C21</f>
        <v>30</v>
      </c>
      <c r="AF21" s="93">
        <f t="shared" si="4"/>
        <v>6.6808678828150043</v>
      </c>
      <c r="AG21" s="173">
        <f t="shared" si="5"/>
        <v>0.28649727825383131</v>
      </c>
      <c r="AH21" s="93">
        <f t="shared" si="6"/>
        <v>60</v>
      </c>
      <c r="AI21" s="93">
        <f t="shared" si="7"/>
        <v>13.361735765630009</v>
      </c>
    </row>
    <row r="22" spans="1:35" x14ac:dyDescent="0.3">
      <c r="A22" s="223"/>
      <c r="B22" s="4" t="str">
        <f>+'Project Orto'!B12</f>
        <v>ORTO</v>
      </c>
      <c r="C22" s="4" t="str">
        <f>+'Project Orto'!C12</f>
        <v>Bicchiere colonna twist1</v>
      </c>
      <c r="D22" s="5">
        <f>+'Project Orto'!D12</f>
        <v>1</v>
      </c>
      <c r="E22" s="5">
        <f>+'Project Orto'!E12</f>
        <v>1</v>
      </c>
      <c r="F22" s="5">
        <f>+'Project Orto'!F12</f>
        <v>0.57999999999999996</v>
      </c>
      <c r="G22" s="5">
        <f>+'Project Orto'!G12</f>
        <v>58</v>
      </c>
      <c r="H22" s="4">
        <f>+'Project Orto'!H12</f>
        <v>9.7981700000000004E-5</v>
      </c>
      <c r="I22" s="6">
        <f>+'Project Orto'!I12</f>
        <v>0.27217138888888892</v>
      </c>
      <c r="J22" s="6">
        <f>+'Project Orto'!J12</f>
        <v>0.24495425000000001</v>
      </c>
      <c r="R22" s="5">
        <f>+'Project Orto'!R12</f>
        <v>12</v>
      </c>
      <c r="S22" s="6">
        <f>+'Project Orto'!S12</f>
        <v>696</v>
      </c>
      <c r="T22" s="6">
        <f>+'Project Orto'!T12</f>
        <v>3.2660566666666671</v>
      </c>
      <c r="U22" s="6">
        <f>+'Project Orto'!U12</f>
        <v>2.939451</v>
      </c>
      <c r="V22" s="81">
        <f>+'Project Orto'!V12</f>
        <v>5.8896343529379198</v>
      </c>
      <c r="W22" s="82">
        <f>+'Project Orto'!W12</f>
        <v>1.9955932839000001E-2</v>
      </c>
      <c r="X22" s="82">
        <f>+'Project Orto'!X12</f>
        <v>109.62000000000002</v>
      </c>
      <c r="Y22" s="82">
        <f>+'Project Orto'!Y12</f>
        <v>40.980694980694977</v>
      </c>
      <c r="Z22" s="82">
        <f>+'Project Orto'!Z12</f>
        <v>1.8483416982285714</v>
      </c>
      <c r="AA22" s="82">
        <f>+'Project Orto'!AA12</f>
        <v>0.37860551100865886</v>
      </c>
      <c r="AB22" s="82">
        <f>+'Project Orto'!AB12</f>
        <v>0</v>
      </c>
      <c r="AC22" s="83">
        <f t="shared" si="2"/>
        <v>158.73723247570913</v>
      </c>
      <c r="AD22" s="93">
        <f t="shared" si="3"/>
        <v>13.228102706309095</v>
      </c>
      <c r="AE22" s="93">
        <f>+'REVENUE DATA'!C22</f>
        <v>15</v>
      </c>
      <c r="AF22" s="93">
        <f t="shared" si="4"/>
        <v>1.7718972936909054</v>
      </c>
      <c r="AG22" s="173">
        <f t="shared" si="5"/>
        <v>0.13394946599906618</v>
      </c>
      <c r="AH22" s="93">
        <f t="shared" si="6"/>
        <v>180</v>
      </c>
      <c r="AI22" s="93">
        <f t="shared" si="7"/>
        <v>21.262767524290865</v>
      </c>
    </row>
    <row r="23" spans="1:35" x14ac:dyDescent="0.3">
      <c r="A23" s="223"/>
      <c r="B23" s="4" t="str">
        <f>+'Project Orto'!B13</f>
        <v>ORTO</v>
      </c>
      <c r="C23" s="4" t="str">
        <f>+'Project Orto'!C13</f>
        <v>Bicchiere colonna twist2</v>
      </c>
      <c r="D23" s="5">
        <f>+'Project Orto'!D13</f>
        <v>1</v>
      </c>
      <c r="E23" s="5">
        <f>+'Project Orto'!E13</f>
        <v>1</v>
      </c>
      <c r="F23" s="5">
        <f>+'Project Orto'!F13</f>
        <v>0.59</v>
      </c>
      <c r="G23" s="5">
        <f>+'Project Orto'!G13</f>
        <v>59</v>
      </c>
      <c r="H23" s="4">
        <f>+'Project Orto'!H13</f>
        <v>9.7982366999999995E-5</v>
      </c>
      <c r="I23" s="6">
        <f>+'Project Orto'!I13</f>
        <v>0.27217324166666662</v>
      </c>
      <c r="J23" s="6">
        <f>+'Project Orto'!J13</f>
        <v>0.24495591749999998</v>
      </c>
      <c r="R23" s="5">
        <f>+'Project Orto'!R13</f>
        <v>12</v>
      </c>
      <c r="S23" s="6">
        <f>+'Project Orto'!S13</f>
        <v>708</v>
      </c>
      <c r="T23" s="6">
        <f>+'Project Orto'!T13</f>
        <v>3.2660788999999992</v>
      </c>
      <c r="U23" s="6">
        <f>+'Project Orto'!U13</f>
        <v>2.9394710099999997</v>
      </c>
      <c r="V23" s="81">
        <f>+'Project Orto'!V13</f>
        <v>5.9911797728161593</v>
      </c>
      <c r="W23" s="82">
        <f>+'Project Orto'!W13</f>
        <v>1.9956068686889997E-2</v>
      </c>
      <c r="X23" s="82">
        <f>+'Project Orto'!X13</f>
        <v>111.51000000000002</v>
      </c>
      <c r="Y23" s="82">
        <f>+'Project Orto'!Y13</f>
        <v>41.687258687258691</v>
      </c>
      <c r="Z23" s="82">
        <f>+'Project Orto'!Z13</f>
        <v>1.8802096585428572</v>
      </c>
      <c r="AA23" s="82">
        <f>+'Project Orto'!AA13</f>
        <v>0.37860808832540094</v>
      </c>
      <c r="AB23" s="82">
        <f>+'Project Orto'!AB13</f>
        <v>0</v>
      </c>
      <c r="AC23" s="83">
        <f t="shared" si="2"/>
        <v>161.46721227563</v>
      </c>
      <c r="AD23" s="93">
        <f t="shared" si="3"/>
        <v>13.455601022969168</v>
      </c>
      <c r="AE23" s="93">
        <f>+'REVENUE DATA'!C23</f>
        <v>15</v>
      </c>
      <c r="AF23" s="93">
        <f t="shared" si="4"/>
        <v>1.5443989770308324</v>
      </c>
      <c r="AG23" s="173">
        <f t="shared" si="5"/>
        <v>0.11477740566136667</v>
      </c>
      <c r="AH23" s="93">
        <f t="shared" si="6"/>
        <v>180</v>
      </c>
      <c r="AI23" s="93">
        <f t="shared" si="7"/>
        <v>18.532787724369996</v>
      </c>
    </row>
    <row r="24" spans="1:35" x14ac:dyDescent="0.3">
      <c r="A24" s="223"/>
      <c r="B24" s="4" t="str">
        <f>+'Project Orto'!B14</f>
        <v>ORTO</v>
      </c>
      <c r="C24" s="4" t="str">
        <f>+'Project Orto'!C14</f>
        <v>Bicchiere colonna twist3</v>
      </c>
      <c r="D24" s="5">
        <f>+'Project Orto'!D14</f>
        <v>1</v>
      </c>
      <c r="E24" s="5">
        <f>+'Project Orto'!E14</f>
        <v>1</v>
      </c>
      <c r="F24" s="5">
        <f>+'Project Orto'!F14</f>
        <v>0.59</v>
      </c>
      <c r="G24" s="5">
        <f>+'Project Orto'!G14</f>
        <v>59</v>
      </c>
      <c r="H24" s="4">
        <f>+'Project Orto'!H14</f>
        <v>9.7984652999999995E-5</v>
      </c>
      <c r="I24" s="6">
        <f>+'Project Orto'!I14</f>
        <v>0.27217959166666666</v>
      </c>
      <c r="J24" s="6">
        <f>+'Project Orto'!J14</f>
        <v>0.2449616325</v>
      </c>
      <c r="R24" s="5">
        <f>+'Project Orto'!R14</f>
        <v>12</v>
      </c>
      <c r="S24" s="6">
        <f>+'Project Orto'!S14</f>
        <v>708</v>
      </c>
      <c r="T24" s="6">
        <f>+'Project Orto'!T14</f>
        <v>3.2661550999999998</v>
      </c>
      <c r="U24" s="6">
        <f>+'Project Orto'!U14</f>
        <v>2.9395395899999999</v>
      </c>
      <c r="V24" s="81">
        <f>+'Project Orto'!V14</f>
        <v>5.9911797728161593</v>
      </c>
      <c r="W24" s="82">
        <f>+'Project Orto'!W14</f>
        <v>1.995653427651E-2</v>
      </c>
      <c r="X24" s="82">
        <f>+'Project Orto'!X14</f>
        <v>111.51000000000002</v>
      </c>
      <c r="Y24" s="82">
        <f>+'Project Orto'!Y14</f>
        <v>41.687258687258691</v>
      </c>
      <c r="Z24" s="82">
        <f>+'Project Orto'!Z14</f>
        <v>1.8802096585428572</v>
      </c>
      <c r="AA24" s="82">
        <f>+'Project Orto'!AA14</f>
        <v>0.37861692152790888</v>
      </c>
      <c r="AB24" s="82">
        <f>+'Project Orto'!AB14</f>
        <v>0</v>
      </c>
      <c r="AC24" s="83">
        <f t="shared" si="2"/>
        <v>161.46722157442215</v>
      </c>
      <c r="AD24" s="93">
        <f t="shared" si="3"/>
        <v>13.455601797868512</v>
      </c>
      <c r="AE24" s="93">
        <f>+'REVENUE DATA'!C24</f>
        <v>15</v>
      </c>
      <c r="AF24" s="93">
        <f t="shared" si="4"/>
        <v>1.5443982021314877</v>
      </c>
      <c r="AG24" s="173">
        <f t="shared" si="5"/>
        <v>0.11477734146206187</v>
      </c>
      <c r="AH24" s="93">
        <f t="shared" si="6"/>
        <v>180</v>
      </c>
      <c r="AI24" s="93">
        <f t="shared" si="7"/>
        <v>18.532778425577845</v>
      </c>
    </row>
    <row r="25" spans="1:35" x14ac:dyDescent="0.3">
      <c r="A25" s="223"/>
      <c r="B25" s="4" t="str">
        <f>+'Project Orto'!B15</f>
        <v>ORTO</v>
      </c>
      <c r="C25" s="4" t="str">
        <f>+'Project Orto'!C15</f>
        <v>Bicchiere colonna twist alto</v>
      </c>
      <c r="D25" s="5">
        <f>+'Project Orto'!D15</f>
        <v>1</v>
      </c>
      <c r="E25" s="5">
        <f>+'Project Orto'!E15</f>
        <v>1</v>
      </c>
      <c r="F25" s="5">
        <f>+'Project Orto'!F15</f>
        <v>0.57999999999999996</v>
      </c>
      <c r="G25" s="5">
        <f>+'Project Orto'!G15</f>
        <v>58</v>
      </c>
      <c r="H25" s="4">
        <f>+'Project Orto'!H15</f>
        <v>9.4065272999999995E-5</v>
      </c>
      <c r="I25" s="6">
        <f>+'Project Orto'!I15</f>
        <v>0.26129242499999999</v>
      </c>
      <c r="J25" s="6">
        <f>+'Project Orto'!J15</f>
        <v>0.23516318249999998</v>
      </c>
      <c r="R25" s="5">
        <f>+'Project Orto'!R15</f>
        <v>12</v>
      </c>
      <c r="S25" s="6">
        <f>+'Project Orto'!S15</f>
        <v>696</v>
      </c>
      <c r="T25" s="6">
        <f>+'Project Orto'!T15</f>
        <v>3.1355091000000002</v>
      </c>
      <c r="U25" s="6">
        <f>+'Project Orto'!U15</f>
        <v>2.8219581899999997</v>
      </c>
      <c r="V25" s="81">
        <f>+'Project Orto'!V15</f>
        <v>5.8896343529379198</v>
      </c>
      <c r="W25" s="82">
        <f>+'Project Orto'!W15</f>
        <v>1.9158274151909998E-2</v>
      </c>
      <c r="X25" s="82">
        <f>+'Project Orto'!X15</f>
        <v>109.62000000000002</v>
      </c>
      <c r="Y25" s="82">
        <f>+'Project Orto'!Y15</f>
        <v>40.980694980694977</v>
      </c>
      <c r="Z25" s="82">
        <f>+'Project Orto'!Z15</f>
        <v>1.8483416982285714</v>
      </c>
      <c r="AA25" s="82">
        <f>+'Project Orto'!AA15</f>
        <v>0.36347226831473628</v>
      </c>
      <c r="AB25" s="82">
        <f>+'Project Orto'!AB15</f>
        <v>0</v>
      </c>
      <c r="AC25" s="83">
        <f t="shared" si="2"/>
        <v>158.72130157432812</v>
      </c>
      <c r="AD25" s="93">
        <f t="shared" si="3"/>
        <v>13.22677513119401</v>
      </c>
      <c r="AE25" s="93">
        <f>+'REVENUE DATA'!C25</f>
        <v>15</v>
      </c>
      <c r="AF25" s="93">
        <f t="shared" si="4"/>
        <v>1.7732248688059897</v>
      </c>
      <c r="AG25" s="173">
        <f t="shared" si="5"/>
        <v>0.13406328082376015</v>
      </c>
      <c r="AH25" s="93">
        <f t="shared" si="6"/>
        <v>180</v>
      </c>
      <c r="AI25" s="93">
        <f t="shared" si="7"/>
        <v>21.278698425671877</v>
      </c>
    </row>
    <row r="26" spans="1:35" x14ac:dyDescent="0.3">
      <c r="A26" s="223"/>
      <c r="B26" s="4" t="str">
        <f>+'Project La Gallina'!B5</f>
        <v>LA GALLINA</v>
      </c>
      <c r="C26" s="4" t="str">
        <f>+'Project La Gallina'!C5</f>
        <v>Oliera1</v>
      </c>
      <c r="D26" s="5">
        <f>+'Project La Gallina'!D5</f>
        <v>2</v>
      </c>
      <c r="E26" s="5">
        <f>+'Project La Gallina'!E5</f>
        <v>1</v>
      </c>
      <c r="F26" s="5">
        <f>+'Project La Gallina'!F5</f>
        <v>0.54</v>
      </c>
      <c r="G26" s="5">
        <f>+'Project La Gallina'!G5</f>
        <v>54</v>
      </c>
      <c r="H26" s="4">
        <f>+'Project La Gallina'!H5</f>
        <v>1.830542E-4</v>
      </c>
      <c r="I26" s="6">
        <f>+'Project La Gallina'!I5</f>
        <v>0.50848388888888885</v>
      </c>
      <c r="J26" s="6">
        <f>+'Project La Gallina'!J5</f>
        <v>0.45763549999999997</v>
      </c>
      <c r="R26" s="5">
        <f>+'Project La Gallina'!R5</f>
        <v>10</v>
      </c>
      <c r="S26" s="6">
        <f>+'Project La Gallina'!S5</f>
        <v>540</v>
      </c>
      <c r="T26" s="6">
        <f>+'Project La Gallina'!T5</f>
        <v>5.0848388888888882</v>
      </c>
      <c r="U26" s="6">
        <f>+'Project La Gallina'!U5</f>
        <v>4.5763549999999995</v>
      </c>
      <c r="V26" s="81">
        <f>+'Project La Gallina'!V5</f>
        <v>4.5695438945208</v>
      </c>
      <c r="W26" s="82">
        <f>+'Project La Gallina'!W5</f>
        <v>3.1068874094999997E-2</v>
      </c>
      <c r="X26" s="82">
        <f>+'Project La Gallina'!X5</f>
        <v>85.050000000000011</v>
      </c>
      <c r="Y26" s="82">
        <f>+'Project La Gallina'!Y5</f>
        <v>31.795366795366796</v>
      </c>
      <c r="Z26" s="82">
        <f>+'Project La Gallina'!Z5</f>
        <v>1.2857142857142856</v>
      </c>
      <c r="AA26" s="82">
        <f>+'Project La Gallina'!AA5</f>
        <v>0.5894410974471187</v>
      </c>
      <c r="AB26" s="82">
        <f>+'Project La Gallina'!AB5</f>
        <v>0</v>
      </c>
      <c r="AC26" s="83">
        <f t="shared" si="2"/>
        <v>123.32113494714402</v>
      </c>
      <c r="AD26" s="93">
        <f t="shared" si="3"/>
        <v>12.332113494714402</v>
      </c>
      <c r="AE26" s="93">
        <f>+'REVENUE DATA'!C26</f>
        <v>20</v>
      </c>
      <c r="AF26" s="93">
        <f t="shared" si="4"/>
        <v>7.6678865052855976</v>
      </c>
      <c r="AG26" s="173">
        <f t="shared" si="5"/>
        <v>0.62178202532534976</v>
      </c>
      <c r="AH26" s="93">
        <f t="shared" si="6"/>
        <v>200</v>
      </c>
      <c r="AI26" s="93">
        <f t="shared" si="7"/>
        <v>76.678865052855983</v>
      </c>
    </row>
    <row r="27" spans="1:35" ht="15" thickBot="1" x14ac:dyDescent="0.35">
      <c r="A27" s="224"/>
      <c r="B27" s="4" t="str">
        <f>+'Project La Gallina'!B6</f>
        <v>LA GALLINA</v>
      </c>
      <c r="C27" s="4" t="str">
        <f>+'Project La Gallina'!C6</f>
        <v>Piatto spirale</v>
      </c>
      <c r="D27" s="5">
        <f>+'Project La Gallina'!D6</f>
        <v>4</v>
      </c>
      <c r="E27" s="5">
        <f>+'Project La Gallina'!E6</f>
        <v>5</v>
      </c>
      <c r="F27" s="5">
        <f>+'Project La Gallina'!F6</f>
        <v>0.25</v>
      </c>
      <c r="G27" s="5">
        <f>+'Project La Gallina'!G6</f>
        <v>25</v>
      </c>
      <c r="H27" s="4">
        <f>+'Project La Gallina'!H6</f>
        <v>1.575448E-4</v>
      </c>
      <c r="I27" s="6">
        <f>+'Project La Gallina'!I6</f>
        <v>0.43762444444444443</v>
      </c>
      <c r="J27" s="6">
        <f>+'Project La Gallina'!J6</f>
        <v>0.39386199999999999</v>
      </c>
      <c r="R27" s="5">
        <f>+'Project La Gallina'!R6</f>
        <v>10</v>
      </c>
      <c r="S27" s="6">
        <f>+'Project La Gallina'!S6</f>
        <v>250</v>
      </c>
      <c r="T27" s="6">
        <f>+'Project La Gallina'!T6</f>
        <v>4.3762444444444446</v>
      </c>
      <c r="U27" s="6">
        <f>+'Project La Gallina'!U6</f>
        <v>3.9386199999999998</v>
      </c>
      <c r="V27" s="84">
        <f>+'Project La Gallina'!V6</f>
        <v>2.1155295807966668</v>
      </c>
      <c r="W27" s="85">
        <f>+'Project La Gallina'!W6</f>
        <v>2.6739291179999999E-2</v>
      </c>
      <c r="X27" s="85">
        <f>+'Project La Gallina'!X6</f>
        <v>39.375000000000007</v>
      </c>
      <c r="Y27" s="85">
        <f>+'Project La Gallina'!Y6</f>
        <v>14.72007722007722</v>
      </c>
      <c r="Z27" s="85">
        <f>+'Project La Gallina'!Z6</f>
        <v>0.59523809523809523</v>
      </c>
      <c r="AA27" s="85">
        <f>+'Project La Gallina'!AA6</f>
        <v>0.50729991340863434</v>
      </c>
      <c r="AB27" s="85">
        <f>+'Project La Gallina'!AB6</f>
        <v>0</v>
      </c>
      <c r="AC27" s="83">
        <f t="shared" si="2"/>
        <v>57.33988410070063</v>
      </c>
      <c r="AD27" s="93">
        <f t="shared" si="3"/>
        <v>5.7339884100700633</v>
      </c>
      <c r="AE27" s="93">
        <f>+'REVENUE DATA'!C27</f>
        <v>15</v>
      </c>
      <c r="AF27" s="93">
        <f t="shared" si="4"/>
        <v>9.2660115899299367</v>
      </c>
      <c r="AG27" s="173">
        <f t="shared" si="5"/>
        <v>1.6159801742286248</v>
      </c>
      <c r="AH27" s="93">
        <f t="shared" si="6"/>
        <v>150</v>
      </c>
      <c r="AI27" s="93">
        <f t="shared" si="7"/>
        <v>92.66011589929937</v>
      </c>
    </row>
    <row r="29" spans="1:35" x14ac:dyDescent="0.3">
      <c r="C29" s="113" t="s">
        <v>130</v>
      </c>
      <c r="D29" s="113" t="s">
        <v>131</v>
      </c>
      <c r="E29" s="113" t="s">
        <v>132</v>
      </c>
      <c r="F29" s="113" t="s">
        <v>133</v>
      </c>
      <c r="G29" s="113" t="s">
        <v>134</v>
      </c>
      <c r="H29" s="113" t="s">
        <v>135</v>
      </c>
      <c r="I29" s="114"/>
      <c r="AC29" s="44"/>
    </row>
    <row r="30" spans="1:35" ht="18.600000000000001" thickBot="1" x14ac:dyDescent="0.4">
      <c r="D30" s="237" t="s">
        <v>40</v>
      </c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10" t="s">
        <v>32</v>
      </c>
      <c r="S30" s="87">
        <f>+S32/60/7</f>
        <v>20.461904761904758</v>
      </c>
      <c r="T30" s="88" t="s">
        <v>83</v>
      </c>
    </row>
    <row r="31" spans="1:35" x14ac:dyDescent="0.3">
      <c r="D31" s="236" t="s">
        <v>33</v>
      </c>
      <c r="E31" s="236"/>
      <c r="F31" s="236"/>
      <c r="G31" s="236"/>
      <c r="H31" s="236"/>
      <c r="I31" s="236"/>
      <c r="J31" s="236"/>
      <c r="M31" s="236" t="s">
        <v>36</v>
      </c>
      <c r="N31" s="236"/>
      <c r="O31" s="236"/>
      <c r="P31" s="236"/>
      <c r="Q31" s="236"/>
      <c r="V31" s="238" t="s">
        <v>135</v>
      </c>
      <c r="W31" s="239"/>
      <c r="X31" s="239"/>
      <c r="Y31" s="239"/>
      <c r="Z31" s="239"/>
      <c r="AA31" s="239"/>
      <c r="AB31" s="239"/>
      <c r="AC31" s="240"/>
    </row>
    <row r="32" spans="1:35" ht="18" x14ac:dyDescent="0.35">
      <c r="B32" s="178" t="s">
        <v>460</v>
      </c>
      <c r="F32" s="225" t="s">
        <v>44</v>
      </c>
      <c r="G32" s="225"/>
      <c r="I32" s="20">
        <f>SUBTOTAL(9,I34:I56)</f>
        <v>59.570075669444442</v>
      </c>
      <c r="J32" s="20">
        <f>SUBTOTAL(9,J34:J56)</f>
        <v>53.613068102499987</v>
      </c>
      <c r="K32" s="1">
        <f>+'Finished goods'!$I$3</f>
        <v>2500</v>
      </c>
      <c r="L32" s="1">
        <f>+'Finished goods'!$J$3</f>
        <v>0.9</v>
      </c>
      <c r="M32" s="15">
        <f>+'Finished goods'!$K$3</f>
        <v>0.50772709939119998</v>
      </c>
      <c r="N32" s="15">
        <f>+'Finished goods'!$L$3</f>
        <v>6.7889999999999999E-3</v>
      </c>
      <c r="O32" s="13">
        <f>+'Finished goods'!$M$3</f>
        <v>0.15750000000000003</v>
      </c>
      <c r="P32" s="46">
        <f>+'Finished goods'!$N$3</f>
        <v>5.8880308880308881E-2</v>
      </c>
      <c r="Q32" s="1"/>
      <c r="S32" s="17">
        <f>SUBTOTAL(9,S34:S56)</f>
        <v>8594</v>
      </c>
      <c r="T32" s="17">
        <f>SUBTOTAL(9,T34:T56)</f>
        <v>162.95047083611109</v>
      </c>
      <c r="U32" s="75">
        <f>SUBTOTAL(9,U34:U56)</f>
        <v>146.65542375250001</v>
      </c>
      <c r="V32" s="77">
        <f t="shared" ref="V32:AC32" si="8">SUBTOTAL(9,V34:V56)</f>
        <v>72.723444869466206</v>
      </c>
      <c r="W32" s="17">
        <f t="shared" si="8"/>
        <v>0.99564367185572245</v>
      </c>
      <c r="X32" s="17">
        <f t="shared" si="8"/>
        <v>1353.5550000000003</v>
      </c>
      <c r="Y32" s="17">
        <f t="shared" si="8"/>
        <v>506.01737451737455</v>
      </c>
      <c r="Z32" s="17">
        <f t="shared" si="8"/>
        <v>22.605749238676189</v>
      </c>
      <c r="AA32" s="17">
        <f t="shared" si="8"/>
        <v>18.889429234236815</v>
      </c>
      <c r="AB32" s="17">
        <f t="shared" si="8"/>
        <v>468</v>
      </c>
      <c r="AC32" s="78">
        <f t="shared" si="8"/>
        <v>2442.7866415316093</v>
      </c>
      <c r="AF32" s="225" t="s">
        <v>118</v>
      </c>
      <c r="AG32" s="225"/>
      <c r="AH32" s="108">
        <f t="shared" ref="AH32" si="9">SUBTOTAL(9,AH34:AH56)</f>
        <v>8320</v>
      </c>
      <c r="AI32" s="95"/>
    </row>
    <row r="33" spans="1:34" x14ac:dyDescent="0.3">
      <c r="A33" s="1" t="s">
        <v>145</v>
      </c>
      <c r="B33" s="1" t="s">
        <v>30</v>
      </c>
      <c r="C33" s="1" t="s">
        <v>0</v>
      </c>
      <c r="D33" s="1" t="s">
        <v>4</v>
      </c>
      <c r="E33" s="1" t="s">
        <v>5</v>
      </c>
      <c r="F33" s="1" t="s">
        <v>45</v>
      </c>
      <c r="G33" s="1" t="s">
        <v>57</v>
      </c>
      <c r="H33" s="1" t="s">
        <v>6</v>
      </c>
      <c r="I33" s="1" t="s">
        <v>2</v>
      </c>
      <c r="J33" s="1" t="s">
        <v>7</v>
      </c>
      <c r="K33" s="1" t="s">
        <v>31</v>
      </c>
      <c r="L33" s="1" t="s">
        <v>8</v>
      </c>
      <c r="M33" s="1" t="s">
        <v>34</v>
      </c>
      <c r="N33" s="1" t="s">
        <v>35</v>
      </c>
      <c r="O33" s="1" t="s">
        <v>37</v>
      </c>
      <c r="P33" s="1" t="s">
        <v>93</v>
      </c>
      <c r="Q33" s="1" t="s">
        <v>94</v>
      </c>
      <c r="R33" s="11" t="s">
        <v>39</v>
      </c>
      <c r="S33" s="2" t="s">
        <v>43</v>
      </c>
      <c r="T33" s="2" t="s">
        <v>2</v>
      </c>
      <c r="U33" s="76" t="s">
        <v>7</v>
      </c>
      <c r="V33" s="2" t="str">
        <f>+V4</f>
        <v>energia €/h</v>
      </c>
      <c r="W33" s="2" t="str">
        <f t="shared" ref="W33:AB33" si="10">+W4</f>
        <v>materiale €/Kg</v>
      </c>
      <c r="X33" s="2" t="str">
        <f t="shared" si="10"/>
        <v>mod</v>
      </c>
      <c r="Y33" s="2" t="str">
        <f t="shared" si="10"/>
        <v>ammort</v>
      </c>
      <c r="Z33" s="2" t="str">
        <f t="shared" si="10"/>
        <v>Accensione</v>
      </c>
      <c r="AA33" s="2" t="str">
        <f t="shared" si="10"/>
        <v>trasporto</v>
      </c>
      <c r="AB33" s="2" t="str">
        <f t="shared" si="10"/>
        <v>forniture</v>
      </c>
      <c r="AC33" s="80" t="s">
        <v>42</v>
      </c>
      <c r="AD33" s="53" t="s">
        <v>116</v>
      </c>
      <c r="AE33" s="1" t="s">
        <v>117</v>
      </c>
      <c r="AF33" s="1" t="s">
        <v>119</v>
      </c>
      <c r="AG33" s="1" t="s">
        <v>120</v>
      </c>
      <c r="AH33" s="1" t="s">
        <v>121</v>
      </c>
    </row>
    <row r="34" spans="1:34" ht="14.4" customHeight="1" x14ac:dyDescent="0.3">
      <c r="A34" s="222" t="s">
        <v>412</v>
      </c>
      <c r="B34" s="4" t="str">
        <f>+B5</f>
        <v>OSTELLIERE</v>
      </c>
      <c r="C34" s="4" t="str">
        <f>+C5</f>
        <v>Tavolo twist Logo</v>
      </c>
      <c r="D34" s="5">
        <f>+D5</f>
        <v>8</v>
      </c>
      <c r="E34" s="5">
        <f>+E5</f>
        <v>10</v>
      </c>
      <c r="F34" s="5">
        <f>+F5</f>
        <v>1.22</v>
      </c>
      <c r="G34" s="5">
        <f t="shared" ref="G34:J34" si="11">+G5</f>
        <v>82</v>
      </c>
      <c r="H34" s="4">
        <f t="shared" si="11"/>
        <v>7.9769999999999997E-3</v>
      </c>
      <c r="I34" s="6">
        <f t="shared" si="11"/>
        <v>22.158333333333331</v>
      </c>
      <c r="J34" s="6">
        <f t="shared" si="11"/>
        <v>19.942499999999999</v>
      </c>
      <c r="R34" s="5">
        <f>+'Project Ostelliere'!R21</f>
        <v>2</v>
      </c>
      <c r="S34" s="6">
        <f>+'Project Ostelliere'!S21</f>
        <v>164</v>
      </c>
      <c r="T34" s="6">
        <f>+'Project Ostelliere'!T21</f>
        <v>44.316666666666663</v>
      </c>
      <c r="U34" s="6">
        <f>+'Project Ostelliere'!U21</f>
        <v>39.884999999999998</v>
      </c>
      <c r="V34" s="81">
        <f>+'Project Ostelliere'!V21</f>
        <v>1.3877874050026131</v>
      </c>
      <c r="W34" s="82">
        <f>+'Project Ostelliere'!W21</f>
        <v>0.27077926499999999</v>
      </c>
      <c r="X34" s="82">
        <f>+'Project Ostelliere'!X21</f>
        <v>25.830000000000005</v>
      </c>
      <c r="Y34" s="82">
        <f>+'Project Ostelliere'!Y21</f>
        <v>9.6563706563706564</v>
      </c>
      <c r="Z34" s="82">
        <f>+'Project Ostelliere'!Z21</f>
        <v>0.43552879096190478</v>
      </c>
      <c r="AA34" s="82">
        <f>+'Project Ostelliere'!AA21</f>
        <v>5.1372452905594805</v>
      </c>
      <c r="AB34" s="82">
        <f>+'Project Ostelliere'!AB21</f>
        <v>300</v>
      </c>
      <c r="AC34" s="83">
        <f>SUM(V34:AB34)</f>
        <v>342.71771140789463</v>
      </c>
      <c r="AD34" s="93">
        <f>+AC34/R34</f>
        <v>171.35885570394731</v>
      </c>
      <c r="AE34" s="93">
        <f>+AE5</f>
        <v>800</v>
      </c>
      <c r="AF34" s="90">
        <f>+AE34-AD34</f>
        <v>628.64114429605274</v>
      </c>
      <c r="AG34" s="91">
        <f>+AF34/AD34</f>
        <v>3.6685652557235873</v>
      </c>
      <c r="AH34" s="92">
        <f>+AE34*R34</f>
        <v>1600</v>
      </c>
    </row>
    <row r="35" spans="1:34" x14ac:dyDescent="0.3">
      <c r="A35" s="223"/>
      <c r="B35" s="4" t="str">
        <f t="shared" ref="B35:J35" si="12">+B6</f>
        <v>OSTELLIERE</v>
      </c>
      <c r="C35" s="4" t="str">
        <f t="shared" si="12"/>
        <v xml:space="preserve">Vaso bitorzolo curvo </v>
      </c>
      <c r="D35" s="5">
        <f t="shared" si="12"/>
        <v>4</v>
      </c>
      <c r="E35" s="5">
        <f t="shared" si="12"/>
        <v>2</v>
      </c>
      <c r="F35" s="5">
        <f t="shared" si="12"/>
        <v>5.21</v>
      </c>
      <c r="G35" s="5">
        <f t="shared" si="12"/>
        <v>321</v>
      </c>
      <c r="H35" s="4">
        <f t="shared" si="12"/>
        <v>6.0029599999999995E-4</v>
      </c>
      <c r="I35" s="6">
        <f t="shared" si="12"/>
        <v>1.6674888888888888</v>
      </c>
      <c r="J35" s="6">
        <f t="shared" si="12"/>
        <v>1.50074</v>
      </c>
      <c r="R35" s="5">
        <f>+'Project Ostelliere'!R22</f>
        <v>2</v>
      </c>
      <c r="S35" s="6">
        <f>+'Project Ostelliere'!S22</f>
        <v>642</v>
      </c>
      <c r="T35" s="6">
        <f>+'Project Ostelliere'!T22</f>
        <v>3.3349777777777776</v>
      </c>
      <c r="U35" s="6">
        <f>+'Project Ostelliere'!U22</f>
        <v>3.0014799999999999</v>
      </c>
      <c r="V35" s="81">
        <f>+'Project Ostelliere'!V22</f>
        <v>5.4326799634858398</v>
      </c>
      <c r="W35" s="82">
        <f>+'Project Ostelliere'!W22</f>
        <v>2.0377047719999999E-2</v>
      </c>
      <c r="X35" s="82">
        <f>+'Project Ostelliere'!X22</f>
        <v>101.11500000000002</v>
      </c>
      <c r="Y35" s="82">
        <f>+'Project Ostelliere'!Y22</f>
        <v>37.801158301158303</v>
      </c>
      <c r="Z35" s="82">
        <f>+'Project Ostelliere'!Z22</f>
        <v>1.7049358768142857</v>
      </c>
      <c r="AA35" s="82">
        <f>+'Project Ostelliere'!AA22</f>
        <v>0.38659493530671857</v>
      </c>
      <c r="AB35" s="82">
        <f>+'Project Ostelliere'!AB22</f>
        <v>0</v>
      </c>
      <c r="AC35" s="83">
        <f t="shared" ref="AC35:AC56" si="13">SUM(V35:AB35)</f>
        <v>146.46074612448518</v>
      </c>
      <c r="AD35" s="93">
        <f t="shared" ref="AD35:AD56" si="14">+AC35/R35</f>
        <v>73.230373062242592</v>
      </c>
      <c r="AE35" s="93">
        <f t="shared" ref="AE35:AE56" si="15">+AE6</f>
        <v>250</v>
      </c>
      <c r="AF35" s="90">
        <f t="shared" ref="AF35:AF56" si="16">+AE35-AD35</f>
        <v>176.76962693775741</v>
      </c>
      <c r="AG35" s="91">
        <f t="shared" ref="AG35:AG56" si="17">+AF35/AD35</f>
        <v>2.4138840148678611</v>
      </c>
      <c r="AH35" s="92">
        <f t="shared" ref="AH35:AH56" si="18">+AE35*R35</f>
        <v>500</v>
      </c>
    </row>
    <row r="36" spans="1:34" x14ac:dyDescent="0.3">
      <c r="A36" s="223"/>
      <c r="B36" s="4" t="str">
        <f t="shared" ref="B36:J36" si="19">+B7</f>
        <v>OSTELLIERE</v>
      </c>
      <c r="C36" s="4" t="str">
        <f t="shared" si="19"/>
        <v>Vaso bitorzolo twist</v>
      </c>
      <c r="D36" s="5">
        <f t="shared" si="19"/>
        <v>4</v>
      </c>
      <c r="E36" s="5">
        <f t="shared" si="19"/>
        <v>2</v>
      </c>
      <c r="F36" s="5">
        <f t="shared" si="19"/>
        <v>5.15</v>
      </c>
      <c r="G36" s="5">
        <f t="shared" si="19"/>
        <v>315</v>
      </c>
      <c r="H36" s="4">
        <f t="shared" si="19"/>
        <v>8.005105E-4</v>
      </c>
      <c r="I36" s="6">
        <f t="shared" si="19"/>
        <v>2.2236402777777777</v>
      </c>
      <c r="J36" s="6">
        <f t="shared" si="19"/>
        <v>2.0012762500000001</v>
      </c>
      <c r="R36" s="5">
        <f>+'Project Ostelliere'!R23</f>
        <v>2</v>
      </c>
      <c r="S36" s="6">
        <f>+'Project Ostelliere'!S23</f>
        <v>630</v>
      </c>
      <c r="T36" s="6">
        <f>+'Project Ostelliere'!T23</f>
        <v>4.4472805555555555</v>
      </c>
      <c r="U36" s="6">
        <f>+'Project Ostelliere'!U23</f>
        <v>4.0025525000000002</v>
      </c>
      <c r="V36" s="81">
        <f>+'Project Ostelliere'!V23</f>
        <v>5.3311345436076003</v>
      </c>
      <c r="W36" s="82">
        <f>+'Project Ostelliere'!W23</f>
        <v>2.71733289225E-2</v>
      </c>
      <c r="X36" s="82">
        <f>+'Project Ostelliere'!X23</f>
        <v>99.225000000000023</v>
      </c>
      <c r="Y36" s="82">
        <f>+'Project Ostelliere'!Y23</f>
        <v>37.094594594594597</v>
      </c>
      <c r="Z36" s="82">
        <f>+'Project Ostelliere'!Z23</f>
        <v>1.6730679165000002</v>
      </c>
      <c r="AA36" s="82">
        <f>+'Project Ostelliere'!AA23</f>
        <v>0.51553451124086935</v>
      </c>
      <c r="AB36" s="82">
        <f>+'Project Ostelliere'!AB23</f>
        <v>0</v>
      </c>
      <c r="AC36" s="83">
        <f t="shared" si="13"/>
        <v>143.86650489486561</v>
      </c>
      <c r="AD36" s="93">
        <f t="shared" si="14"/>
        <v>71.933252447432807</v>
      </c>
      <c r="AE36" s="93">
        <f t="shared" si="15"/>
        <v>250</v>
      </c>
      <c r="AF36" s="90">
        <f t="shared" si="16"/>
        <v>178.06674755256719</v>
      </c>
      <c r="AG36" s="91">
        <f t="shared" si="17"/>
        <v>2.475444130413738</v>
      </c>
      <c r="AH36" s="92">
        <f t="shared" si="18"/>
        <v>500</v>
      </c>
    </row>
    <row r="37" spans="1:34" x14ac:dyDescent="0.3">
      <c r="A37" s="223"/>
      <c r="B37" s="4" t="str">
        <f t="shared" ref="B37:J37" si="20">+B8</f>
        <v>OSTELLIERE</v>
      </c>
      <c r="C37" s="4" t="str">
        <f t="shared" si="20"/>
        <v>Vaso bitorzolo dritto</v>
      </c>
      <c r="D37" s="5">
        <f t="shared" si="20"/>
        <v>4</v>
      </c>
      <c r="E37" s="5">
        <f t="shared" si="20"/>
        <v>2</v>
      </c>
      <c r="F37" s="5">
        <f t="shared" si="20"/>
        <v>4.4800000000000004</v>
      </c>
      <c r="G37" s="5">
        <f t="shared" si="20"/>
        <v>288</v>
      </c>
      <c r="H37" s="4">
        <f t="shared" si="20"/>
        <v>8.2321687099999998E-4</v>
      </c>
      <c r="I37" s="6">
        <f t="shared" si="20"/>
        <v>2.2867135305555553</v>
      </c>
      <c r="J37" s="6">
        <f t="shared" si="20"/>
        <v>2.0580421775</v>
      </c>
      <c r="R37" s="5">
        <f>+'Project Ostelliere'!R24</f>
        <v>2</v>
      </c>
      <c r="S37" s="6">
        <f>+'Project Ostelliere'!S24</f>
        <v>576</v>
      </c>
      <c r="T37" s="6">
        <f>+'Project Ostelliere'!T24</f>
        <v>4.5734270611111105</v>
      </c>
      <c r="U37" s="6">
        <f>+'Project Ostelliere'!U24</f>
        <v>4.1160843549999999</v>
      </c>
      <c r="V37" s="81">
        <f>+'Project Ostelliere'!V24</f>
        <v>4.8741801541555203</v>
      </c>
      <c r="W37" s="82">
        <f>+'Project Ostelliere'!W24</f>
        <v>2.7944096686094998E-2</v>
      </c>
      <c r="X37" s="82">
        <f>+'Project Ostelliere'!X24</f>
        <v>90.720000000000013</v>
      </c>
      <c r="Y37" s="82">
        <f>+'Project Ostelliere'!Y24</f>
        <v>33.915057915057915</v>
      </c>
      <c r="Z37" s="82">
        <f>+'Project Ostelliere'!Z24</f>
        <v>1.5296620950857143</v>
      </c>
      <c r="AA37" s="82">
        <f>+'Project Ostelliere'!AA24</f>
        <v>0.53015757724130141</v>
      </c>
      <c r="AB37" s="82">
        <f>+'Project Ostelliere'!AB24</f>
        <v>0</v>
      </c>
      <c r="AC37" s="83">
        <f t="shared" si="13"/>
        <v>131.59700183822656</v>
      </c>
      <c r="AD37" s="93">
        <f t="shared" si="14"/>
        <v>65.79850091911328</v>
      </c>
      <c r="AE37" s="93">
        <f t="shared" si="15"/>
        <v>250</v>
      </c>
      <c r="AF37" s="90">
        <f t="shared" si="16"/>
        <v>184.20149908088672</v>
      </c>
      <c r="AG37" s="91">
        <f t="shared" si="17"/>
        <v>2.7994786584473612</v>
      </c>
      <c r="AH37" s="92">
        <f t="shared" si="18"/>
        <v>500</v>
      </c>
    </row>
    <row r="38" spans="1:34" x14ac:dyDescent="0.3">
      <c r="A38" s="223"/>
      <c r="B38" s="4" t="str">
        <f t="shared" ref="B38:J38" si="21">+B9</f>
        <v>OSTELLIERE</v>
      </c>
      <c r="C38" s="4" t="str">
        <f t="shared" si="21"/>
        <v>Porta riviste</v>
      </c>
      <c r="D38" s="5">
        <f t="shared" si="21"/>
        <v>10</v>
      </c>
      <c r="E38" s="5">
        <f t="shared" si="21"/>
        <v>10</v>
      </c>
      <c r="F38" s="5">
        <f t="shared" si="21"/>
        <v>0.42</v>
      </c>
      <c r="G38" s="5">
        <f t="shared" si="21"/>
        <v>42</v>
      </c>
      <c r="H38" s="4">
        <f t="shared" si="21"/>
        <v>3.5606798E-3</v>
      </c>
      <c r="I38" s="6">
        <f t="shared" si="21"/>
        <v>9.890777222222221</v>
      </c>
      <c r="J38" s="6">
        <f t="shared" si="21"/>
        <v>8.9016994999999994</v>
      </c>
      <c r="R38" s="5">
        <f>+'Project Ostelliere'!R25</f>
        <v>2</v>
      </c>
      <c r="S38" s="6">
        <f>+'Project Ostelliere'!S25</f>
        <v>84</v>
      </c>
      <c r="T38" s="6">
        <f>+'Project Ostelliere'!T25</f>
        <v>19.781554444444442</v>
      </c>
      <c r="U38" s="6">
        <f>+'Project Ostelliere'!U25</f>
        <v>17.803398999999999</v>
      </c>
      <c r="V38" s="81">
        <f>+'Project Ostelliere'!V25</f>
        <v>0.71081793914767988</v>
      </c>
      <c r="W38" s="82">
        <f>+'Project Ostelliere'!W25</f>
        <v>0.12086727581099999</v>
      </c>
      <c r="X38" s="82">
        <f>+'Project Ostelliere'!X25</f>
        <v>13.230000000000002</v>
      </c>
      <c r="Y38" s="82">
        <f>+'Project Ostelliere'!Y25</f>
        <v>4.9459459459459456</v>
      </c>
      <c r="Z38" s="82">
        <f>+'Project Ostelliere'!Z25</f>
        <v>0.22307572219999999</v>
      </c>
      <c r="AA38" s="82">
        <f>+'Project Ostelliere'!AA25</f>
        <v>2.2931033638887142</v>
      </c>
      <c r="AB38" s="82">
        <f>+'Project Ostelliere'!AB25</f>
        <v>0</v>
      </c>
      <c r="AC38" s="83">
        <f t="shared" si="13"/>
        <v>21.523810246993346</v>
      </c>
      <c r="AD38" s="93">
        <f t="shared" si="14"/>
        <v>10.761905123496673</v>
      </c>
      <c r="AE38" s="93">
        <f t="shared" si="15"/>
        <v>130</v>
      </c>
      <c r="AF38" s="90">
        <f t="shared" si="16"/>
        <v>119.23809487650333</v>
      </c>
      <c r="AG38" s="91">
        <f t="shared" si="17"/>
        <v>11.079645611832103</v>
      </c>
      <c r="AH38" s="92">
        <f t="shared" si="18"/>
        <v>260</v>
      </c>
    </row>
    <row r="39" spans="1:34" x14ac:dyDescent="0.3">
      <c r="A39" s="223"/>
      <c r="B39" s="4" t="str">
        <f t="shared" ref="B39:J39" si="22">+B10</f>
        <v>OSTELLIERE</v>
      </c>
      <c r="C39" s="4" t="str">
        <f t="shared" si="22"/>
        <v>Lampada 90 grossa</v>
      </c>
      <c r="D39" s="5">
        <f t="shared" si="22"/>
        <v>8</v>
      </c>
      <c r="E39" s="5">
        <f t="shared" si="22"/>
        <v>10</v>
      </c>
      <c r="F39" s="5">
        <f t="shared" si="22"/>
        <v>1.39</v>
      </c>
      <c r="G39" s="5">
        <f t="shared" si="22"/>
        <v>99</v>
      </c>
      <c r="H39" s="4">
        <f t="shared" si="22"/>
        <v>1.7366300000000001E-3</v>
      </c>
      <c r="I39" s="6">
        <f t="shared" si="22"/>
        <v>4.8239722222222232</v>
      </c>
      <c r="J39" s="6">
        <f t="shared" si="22"/>
        <v>4.3415750000000006</v>
      </c>
      <c r="R39" s="5">
        <f>+'Project Ostelliere'!R26</f>
        <v>1</v>
      </c>
      <c r="S39" s="6">
        <f>+'Project Ostelliere'!S26</f>
        <v>99</v>
      </c>
      <c r="T39" s="6">
        <f>+'Project Ostelliere'!T26</f>
        <v>4.8239722222222232</v>
      </c>
      <c r="U39" s="6">
        <f>+'Project Ostelliere'!U26</f>
        <v>4.3415750000000006</v>
      </c>
      <c r="V39" s="81">
        <f>+'Project Ostelliere'!V26</f>
        <v>0.83774971399547993</v>
      </c>
      <c r="W39" s="82">
        <f>+'Project Ostelliere'!W26</f>
        <v>2.9474952675000003E-2</v>
      </c>
      <c r="X39" s="82">
        <f>+'Project Ostelliere'!X26</f>
        <v>15.592500000000003</v>
      </c>
      <c r="Y39" s="82">
        <f>+'Project Ostelliere'!Y26</f>
        <v>5.8291505791505793</v>
      </c>
      <c r="Z39" s="82">
        <f>+'Project Ostelliere'!Z26</f>
        <v>0.26291067259285716</v>
      </c>
      <c r="AA39" s="82">
        <f>+'Project Ostelliere'!AA26</f>
        <v>0.55920109621062508</v>
      </c>
      <c r="AB39" s="82">
        <f>+'Project Ostelliere'!AB26</f>
        <v>24</v>
      </c>
      <c r="AC39" s="83">
        <f t="shared" si="13"/>
        <v>47.110987014624541</v>
      </c>
      <c r="AD39" s="93">
        <f t="shared" si="14"/>
        <v>47.110987014624541</v>
      </c>
      <c r="AE39" s="93">
        <f t="shared" si="15"/>
        <v>400</v>
      </c>
      <c r="AF39" s="90">
        <f t="shared" si="16"/>
        <v>352.88901298537547</v>
      </c>
      <c r="AG39" s="91">
        <f t="shared" si="17"/>
        <v>7.4905884029945931</v>
      </c>
      <c r="AH39" s="92">
        <f t="shared" si="18"/>
        <v>400</v>
      </c>
    </row>
    <row r="40" spans="1:34" x14ac:dyDescent="0.3">
      <c r="A40" s="223"/>
      <c r="B40" s="4" t="str">
        <f t="shared" ref="B40:J40" si="23">+B11</f>
        <v>OSTELLIERE</v>
      </c>
      <c r="C40" s="4" t="str">
        <f t="shared" si="23"/>
        <v>Lampada 90 piccola</v>
      </c>
      <c r="D40" s="5">
        <f t="shared" si="23"/>
        <v>5</v>
      </c>
      <c r="E40" s="5">
        <f t="shared" si="23"/>
        <v>10</v>
      </c>
      <c r="F40" s="5">
        <f t="shared" si="23"/>
        <v>1.1499999999999999</v>
      </c>
      <c r="G40" s="5">
        <f t="shared" si="23"/>
        <v>75</v>
      </c>
      <c r="H40" s="4">
        <f t="shared" si="23"/>
        <v>8.1557296000000004E-4</v>
      </c>
      <c r="I40" s="6">
        <f t="shared" si="23"/>
        <v>2.2654804444444445</v>
      </c>
      <c r="J40" s="6">
        <f t="shared" si="23"/>
        <v>2.0389324000000002</v>
      </c>
      <c r="R40" s="5">
        <f>+'Project Ostelliere'!R27</f>
        <v>6</v>
      </c>
      <c r="S40" s="6">
        <f>+'Project Ostelliere'!S27</f>
        <v>450</v>
      </c>
      <c r="T40" s="6">
        <f>+'Project Ostelliere'!T27</f>
        <v>13.592882666666668</v>
      </c>
      <c r="U40" s="6">
        <f>+'Project Ostelliere'!U27</f>
        <v>12.233594400000001</v>
      </c>
      <c r="V40" s="81">
        <f>+'Project Ostelliere'!V27</f>
        <v>3.8079532454339997</v>
      </c>
      <c r="W40" s="82">
        <f>+'Project Ostelliere'!W27</f>
        <v>8.3053872381600002E-2</v>
      </c>
      <c r="X40" s="82">
        <f>+'Project Ostelliere'!X27</f>
        <v>70.875000000000014</v>
      </c>
      <c r="Y40" s="82">
        <f>+'Project Ostelliere'!Y27</f>
        <v>26.496138996138995</v>
      </c>
      <c r="Z40" s="82">
        <f>+'Project Ostelliere'!Z27</f>
        <v>1.1950485117857144</v>
      </c>
      <c r="AA40" s="82">
        <f>+'Project Ostelliere'!AA27</f>
        <v>1.5757045309769298</v>
      </c>
      <c r="AB40" s="82">
        <f>+'Project Ostelliere'!AB27</f>
        <v>144</v>
      </c>
      <c r="AC40" s="83">
        <f t="shared" si="13"/>
        <v>248.03289915671726</v>
      </c>
      <c r="AD40" s="93">
        <f t="shared" si="14"/>
        <v>41.338816526119544</v>
      </c>
      <c r="AE40" s="93">
        <f t="shared" si="15"/>
        <v>200</v>
      </c>
      <c r="AF40" s="90">
        <f t="shared" si="16"/>
        <v>158.66118347388044</v>
      </c>
      <c r="AG40" s="91">
        <f t="shared" si="17"/>
        <v>3.8380678695441572</v>
      </c>
      <c r="AH40" s="92">
        <f t="shared" si="18"/>
        <v>1200</v>
      </c>
    </row>
    <row r="41" spans="1:34" x14ac:dyDescent="0.3">
      <c r="A41" s="223"/>
      <c r="B41" s="4" t="str">
        <f t="shared" ref="B41:J41" si="24">+B12</f>
        <v>OSTELLIERE</v>
      </c>
      <c r="C41" s="4" t="str">
        <f t="shared" si="24"/>
        <v>Vaso Logo</v>
      </c>
      <c r="D41" s="5">
        <f t="shared" si="24"/>
        <v>5</v>
      </c>
      <c r="E41" s="5">
        <f t="shared" si="24"/>
        <v>10</v>
      </c>
      <c r="F41" s="5">
        <f t="shared" si="24"/>
        <v>0.39</v>
      </c>
      <c r="G41" s="5">
        <f t="shared" si="24"/>
        <v>39</v>
      </c>
      <c r="H41" s="4">
        <f t="shared" si="24"/>
        <v>1.1639584900000001E-3</v>
      </c>
      <c r="I41" s="6">
        <f t="shared" si="24"/>
        <v>3.2332180277777778</v>
      </c>
      <c r="J41" s="6">
        <f t="shared" si="24"/>
        <v>2.9098962250000002</v>
      </c>
      <c r="R41" s="5">
        <f>+'Project Ostelliere'!R28</f>
        <v>3</v>
      </c>
      <c r="S41" s="6">
        <f>+'Project Ostelliere'!S28</f>
        <v>117</v>
      </c>
      <c r="T41" s="6">
        <f>+'Project Ostelliere'!T28</f>
        <v>9.6996540833333338</v>
      </c>
      <c r="U41" s="6">
        <f>+'Project Ostelliere'!U28</f>
        <v>8.7296886750000002</v>
      </c>
      <c r="V41" s="81">
        <f>+'Project Ostelliere'!V28</f>
        <v>0.99006784381283996</v>
      </c>
      <c r="W41" s="82">
        <f>+'Project Ostelliere'!W28</f>
        <v>5.9265856414574998E-2</v>
      </c>
      <c r="X41" s="82">
        <f>+'Project Ostelliere'!X28</f>
        <v>18.427500000000002</v>
      </c>
      <c r="Y41" s="82">
        <f>+'Project Ostelliere'!Y28</f>
        <v>6.8889961389961387</v>
      </c>
      <c r="Z41" s="82">
        <f>+'Project Ostelliere'!Z28</f>
        <v>0.31071261306428571</v>
      </c>
      <c r="AA41" s="82">
        <f>+'Project Ostelliere'!AA28</f>
        <v>1.1243964406091058</v>
      </c>
      <c r="AB41" s="82">
        <f>+'Project Ostelliere'!AB28</f>
        <v>0</v>
      </c>
      <c r="AC41" s="83">
        <f t="shared" si="13"/>
        <v>27.800938892896948</v>
      </c>
      <c r="AD41" s="93">
        <f t="shared" si="14"/>
        <v>9.2669796309656487</v>
      </c>
      <c r="AE41" s="93">
        <f t="shared" si="15"/>
        <v>310</v>
      </c>
      <c r="AF41" s="90">
        <f t="shared" si="16"/>
        <v>300.73302036903436</v>
      </c>
      <c r="AG41" s="91">
        <f t="shared" si="17"/>
        <v>32.452107627833108</v>
      </c>
      <c r="AH41" s="92">
        <f t="shared" si="18"/>
        <v>930</v>
      </c>
    </row>
    <row r="42" spans="1:34" x14ac:dyDescent="0.3">
      <c r="A42" s="223"/>
      <c r="B42" s="4" t="str">
        <f t="shared" ref="B42:J42" si="25">+B13</f>
        <v>OSTELLIERE</v>
      </c>
      <c r="C42" s="4" t="str">
        <f t="shared" si="25"/>
        <v>Copri candela</v>
      </c>
      <c r="D42" s="5">
        <f t="shared" si="25"/>
        <v>4</v>
      </c>
      <c r="E42" s="5">
        <f t="shared" si="25"/>
        <v>5</v>
      </c>
      <c r="F42" s="5">
        <f t="shared" si="25"/>
        <v>0.34</v>
      </c>
      <c r="G42" s="5">
        <f t="shared" si="25"/>
        <v>34</v>
      </c>
      <c r="H42" s="4">
        <f t="shared" si="25"/>
        <v>2.3780405299999999E-4</v>
      </c>
      <c r="I42" s="6">
        <f t="shared" si="25"/>
        <v>0.66056681388888883</v>
      </c>
      <c r="J42" s="6">
        <f t="shared" si="25"/>
        <v>0.59451013249999995</v>
      </c>
      <c r="R42" s="5">
        <f>+'Project Ostelliere'!R29</f>
        <v>15</v>
      </c>
      <c r="S42" s="6">
        <f>+'Project Ostelliere'!S29</f>
        <v>510</v>
      </c>
      <c r="T42" s="6">
        <f>+'Project Ostelliere'!T29</f>
        <v>9.9085022083333332</v>
      </c>
      <c r="U42" s="6">
        <f>+'Project Ostelliere'!U29</f>
        <v>8.9176519874999993</v>
      </c>
      <c r="V42" s="81">
        <f>+'Project Ostelliere'!V29</f>
        <v>4.3156803448251999</v>
      </c>
      <c r="W42" s="82">
        <f>+'Project Ostelliere'!W29</f>
        <v>6.0541939343137494E-2</v>
      </c>
      <c r="X42" s="82">
        <f>+'Project Ostelliere'!X29</f>
        <v>80.325000000000017</v>
      </c>
      <c r="Y42" s="82">
        <f>+'Project Ostelliere'!Y29</f>
        <v>30.02895752895753</v>
      </c>
      <c r="Z42" s="82">
        <f>+'Project Ostelliere'!Z29</f>
        <v>1.3543883133571428</v>
      </c>
      <c r="AA42" s="82">
        <f>+'Project Ostelliere'!AA29</f>
        <v>1.1486063852484083</v>
      </c>
      <c r="AB42" s="82">
        <f>+'Project Ostelliere'!AB29</f>
        <v>0</v>
      </c>
      <c r="AC42" s="83">
        <f t="shared" si="13"/>
        <v>117.23317451173145</v>
      </c>
      <c r="AD42" s="93">
        <f t="shared" si="14"/>
        <v>7.8155449674487629</v>
      </c>
      <c r="AE42" s="93">
        <f t="shared" si="15"/>
        <v>20</v>
      </c>
      <c r="AF42" s="90">
        <f t="shared" si="16"/>
        <v>12.184455032551238</v>
      </c>
      <c r="AG42" s="91">
        <f t="shared" si="17"/>
        <v>1.5590026138034778</v>
      </c>
      <c r="AH42" s="92">
        <f t="shared" si="18"/>
        <v>300</v>
      </c>
    </row>
    <row r="43" spans="1:34" x14ac:dyDescent="0.3">
      <c r="A43" s="223"/>
      <c r="B43" s="4" t="str">
        <f t="shared" ref="B43:J43" si="26">+B14</f>
        <v>OSTELLIERE</v>
      </c>
      <c r="C43" s="4" t="str">
        <f t="shared" si="26"/>
        <v xml:space="preserve">Vaso Grosso </v>
      </c>
      <c r="D43" s="5">
        <f t="shared" si="26"/>
        <v>4</v>
      </c>
      <c r="E43" s="5">
        <f t="shared" si="26"/>
        <v>5</v>
      </c>
      <c r="F43" s="5">
        <f t="shared" si="26"/>
        <v>1.31</v>
      </c>
      <c r="G43" s="5">
        <f t="shared" si="26"/>
        <v>91</v>
      </c>
      <c r="H43" s="4">
        <f t="shared" si="26"/>
        <v>9.52764444E-4</v>
      </c>
      <c r="I43" s="6">
        <f t="shared" si="26"/>
        <v>2.6465679</v>
      </c>
      <c r="J43" s="6">
        <f t="shared" si="26"/>
        <v>2.3819111099999999</v>
      </c>
      <c r="R43" s="5">
        <f>+'Project Ostelliere'!R30</f>
        <v>2</v>
      </c>
      <c r="S43" s="6">
        <f>+'Project Ostelliere'!S30</f>
        <v>182</v>
      </c>
      <c r="T43" s="6">
        <f>+'Project Ostelliere'!T30</f>
        <v>5.2931357999999999</v>
      </c>
      <c r="U43" s="6">
        <f>+'Project Ostelliere'!U30</f>
        <v>4.7638222199999998</v>
      </c>
      <c r="V43" s="81">
        <f>+'Project Ostelliere'!V30</f>
        <v>1.5401055348199733</v>
      </c>
      <c r="W43" s="82">
        <f>+'Project Ostelliere'!W30</f>
        <v>3.2341589051580001E-2</v>
      </c>
      <c r="X43" s="82">
        <f>+'Project Ostelliere'!X30</f>
        <v>28.665000000000006</v>
      </c>
      <c r="Y43" s="82">
        <f>+'Project Ostelliere'!Y30</f>
        <v>10.716216216216216</v>
      </c>
      <c r="Z43" s="82">
        <f>+'Project Ostelliere'!Z30</f>
        <v>0.48333073143333333</v>
      </c>
      <c r="AA43" s="82">
        <f>+'Project Ostelliere'!AA30</f>
        <v>0.61358714465983732</v>
      </c>
      <c r="AB43" s="82">
        <f>+'Project Ostelliere'!AB30</f>
        <v>0</v>
      </c>
      <c r="AC43" s="83">
        <f t="shared" si="13"/>
        <v>42.050581216180944</v>
      </c>
      <c r="AD43" s="93">
        <f t="shared" si="14"/>
        <v>21.025290608090472</v>
      </c>
      <c r="AE43" s="93">
        <f t="shared" si="15"/>
        <v>200</v>
      </c>
      <c r="AF43" s="90">
        <f t="shared" si="16"/>
        <v>178.97470939190953</v>
      </c>
      <c r="AG43" s="91">
        <f t="shared" si="17"/>
        <v>8.5123536567452049</v>
      </c>
      <c r="AH43" s="92">
        <f t="shared" si="18"/>
        <v>400</v>
      </c>
    </row>
    <row r="44" spans="1:34" x14ac:dyDescent="0.3">
      <c r="A44" s="223"/>
      <c r="B44" s="4" t="str">
        <f t="shared" ref="B44:J44" si="27">+B15</f>
        <v>ORTO</v>
      </c>
      <c r="C44" s="4" t="str">
        <f t="shared" si="27"/>
        <v>Bicchiere curve dritto</v>
      </c>
      <c r="D44" s="5">
        <f t="shared" si="27"/>
        <v>2</v>
      </c>
      <c r="E44" s="5">
        <f t="shared" si="27"/>
        <v>2</v>
      </c>
      <c r="F44" s="5">
        <f t="shared" si="27"/>
        <v>0.26</v>
      </c>
      <c r="G44" s="5">
        <f t="shared" si="27"/>
        <v>26</v>
      </c>
      <c r="H44" s="4">
        <f t="shared" si="27"/>
        <v>1.6928511099999999E-4</v>
      </c>
      <c r="I44" s="6">
        <f t="shared" si="27"/>
        <v>0.47023641944444439</v>
      </c>
      <c r="J44" s="6">
        <f t="shared" si="27"/>
        <v>0.42321277749999997</v>
      </c>
      <c r="R44" s="5">
        <f>+'Project Orto'!R22</f>
        <v>12</v>
      </c>
      <c r="S44" s="6">
        <f>+'Project Orto'!S22</f>
        <v>312</v>
      </c>
      <c r="T44" s="6">
        <f>+'Project Orto'!T22</f>
        <v>5.6428370333333326</v>
      </c>
      <c r="U44" s="6">
        <f>+'Project Orto'!U22</f>
        <v>5.0785533300000001</v>
      </c>
      <c r="V44" s="81">
        <f>+'Project Orto'!V22</f>
        <v>2.6401809168342401</v>
      </c>
      <c r="W44" s="82">
        <f>+'Project Orto'!W22</f>
        <v>3.4478298557370002E-2</v>
      </c>
      <c r="X44" s="82">
        <f>+'Project Orto'!X22</f>
        <v>49.140000000000008</v>
      </c>
      <c r="Y44" s="82">
        <f>+'Project Orto'!Y22</f>
        <v>18.37065637065637</v>
      </c>
      <c r="Z44" s="82">
        <f>+'Project Orto'!Z22</f>
        <v>0.82856696817142861</v>
      </c>
      <c r="AA44" s="82">
        <f>+'Project Orto'!AA22</f>
        <v>0.65412496370559525</v>
      </c>
      <c r="AB44" s="82">
        <f>+'Project Orto'!AB22</f>
        <v>0</v>
      </c>
      <c r="AC44" s="83">
        <f t="shared" si="13"/>
        <v>71.668007517925005</v>
      </c>
      <c r="AD44" s="93">
        <f t="shared" si="14"/>
        <v>5.9723339598270835</v>
      </c>
      <c r="AE44" s="93">
        <f t="shared" si="15"/>
        <v>15</v>
      </c>
      <c r="AF44" s="90">
        <f t="shared" si="16"/>
        <v>9.0276660401729174</v>
      </c>
      <c r="AG44" s="91">
        <f t="shared" si="17"/>
        <v>1.5115809164218765</v>
      </c>
      <c r="AH44" s="92">
        <f t="shared" si="18"/>
        <v>180</v>
      </c>
    </row>
    <row r="45" spans="1:34" x14ac:dyDescent="0.3">
      <c r="A45" s="223"/>
      <c r="B45" s="4" t="str">
        <f t="shared" ref="B45:J45" si="28">+B16</f>
        <v>ORTO</v>
      </c>
      <c r="C45" s="4" t="str">
        <f t="shared" si="28"/>
        <v>Bicchiere curve twist</v>
      </c>
      <c r="D45" s="5">
        <f t="shared" si="28"/>
        <v>2</v>
      </c>
      <c r="E45" s="5">
        <f t="shared" si="28"/>
        <v>2</v>
      </c>
      <c r="F45" s="5">
        <f t="shared" si="28"/>
        <v>0.25</v>
      </c>
      <c r="G45" s="5">
        <f t="shared" si="28"/>
        <v>25</v>
      </c>
      <c r="H45" s="4">
        <f t="shared" si="28"/>
        <v>1.69285896E-4</v>
      </c>
      <c r="I45" s="6">
        <f t="shared" si="28"/>
        <v>0.47023859999999995</v>
      </c>
      <c r="J45" s="6">
        <f t="shared" si="28"/>
        <v>0.42321473999999998</v>
      </c>
      <c r="R45" s="5">
        <f>+'Project Orto'!R23</f>
        <v>12</v>
      </c>
      <c r="S45" s="6">
        <f>+'Project Orto'!S23</f>
        <v>300</v>
      </c>
      <c r="T45" s="6">
        <f>+'Project Orto'!T23</f>
        <v>5.642863199999999</v>
      </c>
      <c r="U45" s="6">
        <f>+'Project Orto'!U23</f>
        <v>5.07857688</v>
      </c>
      <c r="V45" s="81">
        <f>+'Project Orto'!V23</f>
        <v>2.5386354969559997</v>
      </c>
      <c r="W45" s="82">
        <f>+'Project Orto'!W23</f>
        <v>3.4478458438320002E-2</v>
      </c>
      <c r="X45" s="82">
        <f>+'Project Orto'!X23</f>
        <v>47.250000000000007</v>
      </c>
      <c r="Y45" s="82">
        <f>+'Project Orto'!Y23</f>
        <v>17.664092664092664</v>
      </c>
      <c r="Z45" s="82">
        <f>+'Project Orto'!Z23</f>
        <v>0.79669900785714287</v>
      </c>
      <c r="AA45" s="82">
        <f>+'Project Orto'!AA23</f>
        <v>0.65412799697942225</v>
      </c>
      <c r="AB45" s="82">
        <f>+'Project Orto'!AB23</f>
        <v>0</v>
      </c>
      <c r="AC45" s="83">
        <f t="shared" si="13"/>
        <v>68.938033624323552</v>
      </c>
      <c r="AD45" s="93">
        <f t="shared" si="14"/>
        <v>5.7448361353602957</v>
      </c>
      <c r="AE45" s="93">
        <f t="shared" si="15"/>
        <v>15</v>
      </c>
      <c r="AF45" s="90">
        <f t="shared" si="16"/>
        <v>9.2551638646397052</v>
      </c>
      <c r="AG45" s="91">
        <f t="shared" si="17"/>
        <v>1.6110405321524901</v>
      </c>
      <c r="AH45" s="92">
        <f t="shared" si="18"/>
        <v>180</v>
      </c>
    </row>
    <row r="46" spans="1:34" x14ac:dyDescent="0.3">
      <c r="A46" s="223"/>
      <c r="B46" s="4" t="str">
        <f t="shared" ref="B46:J46" si="29">+B17</f>
        <v>ORTO</v>
      </c>
      <c r="C46" s="4" t="str">
        <f t="shared" si="29"/>
        <v>Caraffa curva</v>
      </c>
      <c r="D46" s="5">
        <f t="shared" si="29"/>
        <v>2</v>
      </c>
      <c r="E46" s="5">
        <f t="shared" si="29"/>
        <v>2</v>
      </c>
      <c r="F46" s="5">
        <f t="shared" si="29"/>
        <v>0.56999999999999995</v>
      </c>
      <c r="G46" s="5">
        <f t="shared" si="29"/>
        <v>57</v>
      </c>
      <c r="H46" s="4">
        <f t="shared" si="29"/>
        <v>3.69342133E-4</v>
      </c>
      <c r="I46" s="6">
        <f t="shared" si="29"/>
        <v>1.0259503694444445</v>
      </c>
      <c r="J46" s="6">
        <f t="shared" si="29"/>
        <v>0.92335533250000001</v>
      </c>
      <c r="R46" s="5">
        <f>+'Project Orto'!R24</f>
        <v>2</v>
      </c>
      <c r="S46" s="6">
        <f>+'Project Orto'!S24</f>
        <v>114</v>
      </c>
      <c r="T46" s="6">
        <f>+'Project Orto'!T24</f>
        <v>2.051900738888889</v>
      </c>
      <c r="U46" s="6">
        <f>+'Project Orto'!U24</f>
        <v>1.846710665</v>
      </c>
      <c r="V46" s="81">
        <f>+'Project Orto'!V24</f>
        <v>0.96468148884327987</v>
      </c>
      <c r="W46" s="82">
        <f>+'Project Orto'!W24</f>
        <v>1.2537318704685E-2</v>
      </c>
      <c r="X46" s="82">
        <f>+'Project Orto'!X24</f>
        <v>17.955000000000002</v>
      </c>
      <c r="Y46" s="82">
        <f>+'Project Orto'!Y24</f>
        <v>6.7123552123552122</v>
      </c>
      <c r="Z46" s="82">
        <f>+'Project Orto'!Z24</f>
        <v>0.30274562298571428</v>
      </c>
      <c r="AA46" s="82">
        <f>+'Project Orto'!AA24</f>
        <v>0.23785898625541477</v>
      </c>
      <c r="AB46" s="82">
        <f>+'Project Orto'!AB24</f>
        <v>0</v>
      </c>
      <c r="AC46" s="83">
        <f t="shared" si="13"/>
        <v>26.185178629144307</v>
      </c>
      <c r="AD46" s="93">
        <f t="shared" si="14"/>
        <v>13.092589314572153</v>
      </c>
      <c r="AE46" s="93">
        <f t="shared" si="15"/>
        <v>30</v>
      </c>
      <c r="AF46" s="90">
        <f t="shared" si="16"/>
        <v>16.907410685427848</v>
      </c>
      <c r="AG46" s="91">
        <f t="shared" si="17"/>
        <v>1.2913725680381474</v>
      </c>
      <c r="AH46" s="92">
        <f t="shared" si="18"/>
        <v>60</v>
      </c>
    </row>
    <row r="47" spans="1:34" x14ac:dyDescent="0.3">
      <c r="A47" s="223"/>
      <c r="B47" s="4" t="str">
        <f t="shared" ref="B47:J47" si="30">+B18</f>
        <v>ORTO</v>
      </c>
      <c r="C47" s="4" t="str">
        <f t="shared" si="30"/>
        <v>Caraffa colonna dritta</v>
      </c>
      <c r="D47" s="5">
        <f t="shared" si="30"/>
        <v>2</v>
      </c>
      <c r="E47" s="5">
        <f t="shared" si="30"/>
        <v>1</v>
      </c>
      <c r="F47" s="5">
        <f t="shared" si="30"/>
        <v>1.4</v>
      </c>
      <c r="G47" s="5">
        <f t="shared" si="30"/>
        <v>100</v>
      </c>
      <c r="H47" s="4">
        <f t="shared" si="30"/>
        <v>3.2796365999999998E-4</v>
      </c>
      <c r="I47" s="6">
        <f t="shared" si="30"/>
        <v>0.91101016666666657</v>
      </c>
      <c r="J47" s="6">
        <f t="shared" si="30"/>
        <v>0.81990914999999998</v>
      </c>
      <c r="R47" s="5">
        <f>+'Project Orto'!R25</f>
        <v>2</v>
      </c>
      <c r="S47" s="6">
        <f>+'Project Orto'!S25</f>
        <v>200</v>
      </c>
      <c r="T47" s="6">
        <f>+'Project Orto'!T25</f>
        <v>1.8220203333333331</v>
      </c>
      <c r="U47" s="6">
        <f>+'Project Orto'!U25</f>
        <v>1.6398183</v>
      </c>
      <c r="V47" s="81">
        <f>+'Project Orto'!V25</f>
        <v>1.6924236646373332</v>
      </c>
      <c r="W47" s="82">
        <f>+'Project Orto'!W25</f>
        <v>1.1132726438699999E-2</v>
      </c>
      <c r="X47" s="82">
        <f>+'Project Orto'!X25</f>
        <v>31.500000000000007</v>
      </c>
      <c r="Y47" s="82">
        <f>+'Project Orto'!Y25</f>
        <v>11.776061776061777</v>
      </c>
      <c r="Z47" s="82">
        <f>+'Project Orto'!Z25</f>
        <v>0.53113267190476188</v>
      </c>
      <c r="AA47" s="82">
        <f>+'Project Orto'!AA25</f>
        <v>0.21121095246454188</v>
      </c>
      <c r="AB47" s="82">
        <f>+'Project Orto'!AB25</f>
        <v>0</v>
      </c>
      <c r="AC47" s="83">
        <f t="shared" si="13"/>
        <v>45.72196179150712</v>
      </c>
      <c r="AD47" s="93">
        <f t="shared" si="14"/>
        <v>22.86098089575356</v>
      </c>
      <c r="AE47" s="93">
        <f t="shared" si="15"/>
        <v>30</v>
      </c>
      <c r="AF47" s="90">
        <f t="shared" si="16"/>
        <v>7.1390191042464402</v>
      </c>
      <c r="AG47" s="91">
        <f t="shared" si="17"/>
        <v>0.31227964962660537</v>
      </c>
      <c r="AH47" s="92">
        <f t="shared" si="18"/>
        <v>60</v>
      </c>
    </row>
    <row r="48" spans="1:34" x14ac:dyDescent="0.3">
      <c r="A48" s="223"/>
      <c r="B48" s="4" t="str">
        <f t="shared" ref="B48:J48" si="31">+B19</f>
        <v>ORTO</v>
      </c>
      <c r="C48" s="4" t="str">
        <f t="shared" si="31"/>
        <v>Caraffa colonna twist1</v>
      </c>
      <c r="D48" s="5">
        <f t="shared" si="31"/>
        <v>2</v>
      </c>
      <c r="E48" s="5">
        <f t="shared" si="31"/>
        <v>1</v>
      </c>
      <c r="F48" s="5">
        <f t="shared" si="31"/>
        <v>1.41</v>
      </c>
      <c r="G48" s="5">
        <f t="shared" si="31"/>
        <v>101</v>
      </c>
      <c r="H48" s="4">
        <f t="shared" si="31"/>
        <v>3.323221E-4</v>
      </c>
      <c r="I48" s="6">
        <f t="shared" si="31"/>
        <v>0.92311694444444448</v>
      </c>
      <c r="J48" s="6">
        <f t="shared" si="31"/>
        <v>0.83080525000000005</v>
      </c>
      <c r="R48" s="5">
        <f>+'Project Orto'!R26</f>
        <v>2</v>
      </c>
      <c r="S48" s="6">
        <f>+'Project Orto'!S26</f>
        <v>202</v>
      </c>
      <c r="T48" s="6">
        <f>+'Project Orto'!T26</f>
        <v>1.846233888888889</v>
      </c>
      <c r="U48" s="6">
        <f>+'Project Orto'!U26</f>
        <v>1.6616105000000001</v>
      </c>
      <c r="V48" s="81">
        <f>+'Project Orto'!V26</f>
        <v>1.7093479012837065</v>
      </c>
      <c r="W48" s="82">
        <f>+'Project Orto'!W26</f>
        <v>1.12806736845E-2</v>
      </c>
      <c r="X48" s="82">
        <f>+'Project Orto'!X26</f>
        <v>31.815000000000005</v>
      </c>
      <c r="Y48" s="82">
        <f>+'Project Orto'!Y26</f>
        <v>11.893822393822393</v>
      </c>
      <c r="Z48" s="82">
        <f>+'Project Orto'!Z26</f>
        <v>0.53644399862380954</v>
      </c>
      <c r="AA48" s="82">
        <f>+'Project Orto'!AA26</f>
        <v>0.21401781912671894</v>
      </c>
      <c r="AB48" s="82">
        <f>+'Project Orto'!AB26</f>
        <v>0</v>
      </c>
      <c r="AC48" s="83">
        <f t="shared" si="13"/>
        <v>46.179912786541131</v>
      </c>
      <c r="AD48" s="93">
        <f t="shared" si="14"/>
        <v>23.089956393270565</v>
      </c>
      <c r="AE48" s="93">
        <f t="shared" si="15"/>
        <v>30</v>
      </c>
      <c r="AF48" s="90">
        <f t="shared" si="16"/>
        <v>6.9100436067294346</v>
      </c>
      <c r="AG48" s="91">
        <f t="shared" si="17"/>
        <v>0.29926620427673595</v>
      </c>
      <c r="AH48" s="92">
        <f t="shared" si="18"/>
        <v>60</v>
      </c>
    </row>
    <row r="49" spans="1:35" x14ac:dyDescent="0.3">
      <c r="A49" s="223"/>
      <c r="B49" s="4" t="str">
        <f t="shared" ref="B49:J49" si="32">+B20</f>
        <v>ORTO</v>
      </c>
      <c r="C49" s="4" t="str">
        <f t="shared" si="32"/>
        <v>Caraffa colonna twist2</v>
      </c>
      <c r="D49" s="5">
        <f t="shared" si="32"/>
        <v>2</v>
      </c>
      <c r="E49" s="5">
        <f t="shared" si="32"/>
        <v>1</v>
      </c>
      <c r="F49" s="5">
        <f t="shared" si="32"/>
        <v>1.45</v>
      </c>
      <c r="G49" s="5">
        <f t="shared" si="32"/>
        <v>105</v>
      </c>
      <c r="H49" s="4">
        <f t="shared" si="32"/>
        <v>3.4271101000000001E-4</v>
      </c>
      <c r="I49" s="6">
        <f t="shared" si="32"/>
        <v>0.95197502777777776</v>
      </c>
      <c r="J49" s="6">
        <f t="shared" si="32"/>
        <v>0.85677752500000004</v>
      </c>
      <c r="R49" s="5">
        <f>+'Project Orto'!R27</f>
        <v>2</v>
      </c>
      <c r="S49" s="6">
        <f>+'Project Orto'!S27</f>
        <v>210</v>
      </c>
      <c r="T49" s="6">
        <f>+'Project Orto'!T27</f>
        <v>1.9039500555555555</v>
      </c>
      <c r="U49" s="6">
        <f>+'Project Orto'!U27</f>
        <v>1.7135550500000001</v>
      </c>
      <c r="V49" s="81">
        <f>+'Project Orto'!V27</f>
        <v>1.7770448478691998</v>
      </c>
      <c r="W49" s="82">
        <f>+'Project Orto'!W27</f>
        <v>1.1633325234450001E-2</v>
      </c>
      <c r="X49" s="82">
        <f>+'Project Orto'!X27</f>
        <v>33.075000000000003</v>
      </c>
      <c r="Y49" s="82">
        <f>+'Project Orto'!Y27</f>
        <v>12.364864864864865</v>
      </c>
      <c r="Z49" s="82">
        <f>+'Project Orto'!Z27</f>
        <v>0.55768930550000007</v>
      </c>
      <c r="AA49" s="82">
        <f>+'Project Orto'!AA27</f>
        <v>0.22070835177953907</v>
      </c>
      <c r="AB49" s="82">
        <f>+'Project Orto'!AB27</f>
        <v>0</v>
      </c>
      <c r="AC49" s="83">
        <f t="shared" si="13"/>
        <v>48.006940695248055</v>
      </c>
      <c r="AD49" s="93">
        <f t="shared" si="14"/>
        <v>24.003470347624027</v>
      </c>
      <c r="AE49" s="93">
        <f t="shared" si="15"/>
        <v>30</v>
      </c>
      <c r="AF49" s="90">
        <f t="shared" si="16"/>
        <v>5.9965296523759726</v>
      </c>
      <c r="AG49" s="91">
        <f t="shared" si="17"/>
        <v>0.24981927885979771</v>
      </c>
      <c r="AH49" s="92">
        <f t="shared" si="18"/>
        <v>60</v>
      </c>
    </row>
    <row r="50" spans="1:35" x14ac:dyDescent="0.3">
      <c r="A50" s="223"/>
      <c r="B50" s="4" t="str">
        <f t="shared" ref="B50:J50" si="33">+B21</f>
        <v>ORTO</v>
      </c>
      <c r="C50" s="4" t="str">
        <f t="shared" si="33"/>
        <v>Caraffa colonna twist3</v>
      </c>
      <c r="D50" s="5">
        <f t="shared" si="33"/>
        <v>2</v>
      </c>
      <c r="E50" s="5">
        <f t="shared" si="33"/>
        <v>1</v>
      </c>
      <c r="F50" s="5">
        <f t="shared" si="33"/>
        <v>1.42</v>
      </c>
      <c r="G50" s="5">
        <f t="shared" si="33"/>
        <v>102</v>
      </c>
      <c r="H50" s="4">
        <f t="shared" si="33"/>
        <v>3.3727121999999998E-4</v>
      </c>
      <c r="I50" s="6">
        <f t="shared" si="33"/>
        <v>0.93686449999999988</v>
      </c>
      <c r="J50" s="6">
        <f t="shared" si="33"/>
        <v>0.8431780499999999</v>
      </c>
      <c r="R50" s="5">
        <f>+'Project Orto'!R28</f>
        <v>2</v>
      </c>
      <c r="S50" s="6">
        <f>+'Project Orto'!S28</f>
        <v>204</v>
      </c>
      <c r="T50" s="6">
        <f>+'Project Orto'!T28</f>
        <v>1.8737289999999998</v>
      </c>
      <c r="U50" s="6">
        <f>+'Project Orto'!U28</f>
        <v>1.6863560999999998</v>
      </c>
      <c r="V50" s="81">
        <f>+'Project Orto'!V28</f>
        <v>1.7262721379300801</v>
      </c>
      <c r="W50" s="82">
        <f>+'Project Orto'!W28</f>
        <v>1.1448671562899998E-2</v>
      </c>
      <c r="X50" s="82">
        <f>+'Project Orto'!X28</f>
        <v>32.130000000000003</v>
      </c>
      <c r="Y50" s="82">
        <f>+'Project Orto'!Y28</f>
        <v>12.011583011583012</v>
      </c>
      <c r="Z50" s="82">
        <f>+'Project Orto'!Z28</f>
        <v>0.5417553253428572</v>
      </c>
      <c r="AA50" s="82">
        <f>+'Project Orto'!AA28</f>
        <v>0.21720508795114082</v>
      </c>
      <c r="AB50" s="82">
        <f>+'Project Orto'!AB28</f>
        <v>0</v>
      </c>
      <c r="AC50" s="83">
        <f t="shared" si="13"/>
        <v>46.638264234369991</v>
      </c>
      <c r="AD50" s="93">
        <f t="shared" si="14"/>
        <v>23.319132117184996</v>
      </c>
      <c r="AE50" s="93">
        <f t="shared" si="15"/>
        <v>30</v>
      </c>
      <c r="AF50" s="90">
        <f t="shared" si="16"/>
        <v>6.6808678828150043</v>
      </c>
      <c r="AG50" s="91">
        <f t="shared" si="17"/>
        <v>0.28649727825383131</v>
      </c>
      <c r="AH50" s="92">
        <f t="shared" si="18"/>
        <v>60</v>
      </c>
    </row>
    <row r="51" spans="1:35" x14ac:dyDescent="0.3">
      <c r="A51" s="223"/>
      <c r="B51" s="4" t="str">
        <f t="shared" ref="B51:J51" si="34">+B22</f>
        <v>ORTO</v>
      </c>
      <c r="C51" s="4" t="str">
        <f t="shared" si="34"/>
        <v>Bicchiere colonna twist1</v>
      </c>
      <c r="D51" s="5">
        <f t="shared" si="34"/>
        <v>1</v>
      </c>
      <c r="E51" s="5">
        <f t="shared" si="34"/>
        <v>1</v>
      </c>
      <c r="F51" s="5">
        <f t="shared" si="34"/>
        <v>0.57999999999999996</v>
      </c>
      <c r="G51" s="5">
        <f t="shared" si="34"/>
        <v>58</v>
      </c>
      <c r="H51" s="4">
        <f t="shared" si="34"/>
        <v>9.7981700000000004E-5</v>
      </c>
      <c r="I51" s="6">
        <f t="shared" si="34"/>
        <v>0.27217138888888892</v>
      </c>
      <c r="J51" s="6">
        <f t="shared" si="34"/>
        <v>0.24495425000000001</v>
      </c>
      <c r="R51" s="5">
        <f>+'Project Orto'!R29</f>
        <v>12</v>
      </c>
      <c r="S51" s="6">
        <f>+'Project Orto'!S29</f>
        <v>696</v>
      </c>
      <c r="T51" s="6">
        <f>+'Project Orto'!T29</f>
        <v>3.2660566666666671</v>
      </c>
      <c r="U51" s="6">
        <f>+'Project Orto'!U29</f>
        <v>2.939451</v>
      </c>
      <c r="V51" s="81">
        <f>+'Project Orto'!V29</f>
        <v>5.8896343529379198</v>
      </c>
      <c r="W51" s="82">
        <f>+'Project Orto'!W29</f>
        <v>1.9955932839000001E-2</v>
      </c>
      <c r="X51" s="82">
        <f>+'Project Orto'!X29</f>
        <v>109.62000000000002</v>
      </c>
      <c r="Y51" s="82">
        <f>+'Project Orto'!Y29</f>
        <v>40.980694980694977</v>
      </c>
      <c r="Z51" s="82">
        <f>+'Project Orto'!Z29</f>
        <v>1.8483416982285714</v>
      </c>
      <c r="AA51" s="82">
        <f>+'Project Orto'!AA29</f>
        <v>0.37860551100865886</v>
      </c>
      <c r="AB51" s="82">
        <f>+'Project Orto'!AB29</f>
        <v>0</v>
      </c>
      <c r="AC51" s="83">
        <f t="shared" si="13"/>
        <v>158.73723247570913</v>
      </c>
      <c r="AD51" s="93">
        <f t="shared" si="14"/>
        <v>13.228102706309095</v>
      </c>
      <c r="AE51" s="93">
        <f t="shared" si="15"/>
        <v>15</v>
      </c>
      <c r="AF51" s="90">
        <f t="shared" si="16"/>
        <v>1.7718972936909054</v>
      </c>
      <c r="AG51" s="91">
        <f t="shared" si="17"/>
        <v>0.13394946599906618</v>
      </c>
      <c r="AH51" s="92">
        <f t="shared" si="18"/>
        <v>180</v>
      </c>
    </row>
    <row r="52" spans="1:35" x14ac:dyDescent="0.3">
      <c r="A52" s="223"/>
      <c r="B52" s="4" t="str">
        <f t="shared" ref="B52:J52" si="35">+B23</f>
        <v>ORTO</v>
      </c>
      <c r="C52" s="4" t="str">
        <f t="shared" si="35"/>
        <v>Bicchiere colonna twist2</v>
      </c>
      <c r="D52" s="5">
        <f t="shared" si="35"/>
        <v>1</v>
      </c>
      <c r="E52" s="5">
        <f t="shared" si="35"/>
        <v>1</v>
      </c>
      <c r="F52" s="5">
        <f t="shared" si="35"/>
        <v>0.59</v>
      </c>
      <c r="G52" s="5">
        <f t="shared" si="35"/>
        <v>59</v>
      </c>
      <c r="H52" s="4">
        <f t="shared" si="35"/>
        <v>9.7982366999999995E-5</v>
      </c>
      <c r="I52" s="6">
        <f t="shared" si="35"/>
        <v>0.27217324166666662</v>
      </c>
      <c r="J52" s="6">
        <f t="shared" si="35"/>
        <v>0.24495591749999998</v>
      </c>
      <c r="R52" s="5">
        <f>+'Project Orto'!R30</f>
        <v>12</v>
      </c>
      <c r="S52" s="6">
        <f>+'Project Orto'!S30</f>
        <v>708</v>
      </c>
      <c r="T52" s="6">
        <f>+'Project Orto'!T30</f>
        <v>3.2660788999999992</v>
      </c>
      <c r="U52" s="6">
        <f>+'Project Orto'!U30</f>
        <v>2.9394710099999997</v>
      </c>
      <c r="V52" s="81">
        <f>+'Project Orto'!V30</f>
        <v>5.9911797728161593</v>
      </c>
      <c r="W52" s="82">
        <f>+'Project Orto'!W30</f>
        <v>1.9956068686889997E-2</v>
      </c>
      <c r="X52" s="82">
        <f>+'Project Orto'!X30</f>
        <v>111.51000000000002</v>
      </c>
      <c r="Y52" s="82">
        <f>+'Project Orto'!Y30</f>
        <v>41.687258687258691</v>
      </c>
      <c r="Z52" s="82">
        <f>+'Project Orto'!Z30</f>
        <v>1.8802096585428572</v>
      </c>
      <c r="AA52" s="82">
        <f>+'Project Orto'!AA30</f>
        <v>0.37860808832540094</v>
      </c>
      <c r="AB52" s="82">
        <f>+'Project Orto'!AB30</f>
        <v>0</v>
      </c>
      <c r="AC52" s="83">
        <f t="shared" si="13"/>
        <v>161.46721227563</v>
      </c>
      <c r="AD52" s="93">
        <f t="shared" si="14"/>
        <v>13.455601022969168</v>
      </c>
      <c r="AE52" s="93">
        <f t="shared" si="15"/>
        <v>15</v>
      </c>
      <c r="AF52" s="90">
        <f t="shared" si="16"/>
        <v>1.5443989770308324</v>
      </c>
      <c r="AG52" s="91">
        <f t="shared" si="17"/>
        <v>0.11477740566136667</v>
      </c>
      <c r="AH52" s="92">
        <f t="shared" si="18"/>
        <v>180</v>
      </c>
    </row>
    <row r="53" spans="1:35" x14ac:dyDescent="0.3">
      <c r="A53" s="223"/>
      <c r="B53" s="4" t="str">
        <f t="shared" ref="B53:J53" si="36">+B24</f>
        <v>ORTO</v>
      </c>
      <c r="C53" s="4" t="str">
        <f t="shared" si="36"/>
        <v>Bicchiere colonna twist3</v>
      </c>
      <c r="D53" s="5">
        <f t="shared" si="36"/>
        <v>1</v>
      </c>
      <c r="E53" s="5">
        <f t="shared" si="36"/>
        <v>1</v>
      </c>
      <c r="F53" s="5">
        <f t="shared" si="36"/>
        <v>0.59</v>
      </c>
      <c r="G53" s="5">
        <f t="shared" si="36"/>
        <v>59</v>
      </c>
      <c r="H53" s="4">
        <f t="shared" si="36"/>
        <v>9.7984652999999995E-5</v>
      </c>
      <c r="I53" s="6">
        <f t="shared" si="36"/>
        <v>0.27217959166666666</v>
      </c>
      <c r="J53" s="6">
        <f t="shared" si="36"/>
        <v>0.2449616325</v>
      </c>
      <c r="R53" s="5">
        <f>+'Project Orto'!R31</f>
        <v>12</v>
      </c>
      <c r="S53" s="6">
        <f>+'Project Orto'!S31</f>
        <v>708</v>
      </c>
      <c r="T53" s="6">
        <f>+'Project Orto'!T31</f>
        <v>3.2661550999999998</v>
      </c>
      <c r="U53" s="6">
        <f>+'Project Orto'!U31</f>
        <v>2.9395395899999999</v>
      </c>
      <c r="V53" s="81">
        <f>+'Project Orto'!V31</f>
        <v>5.9911797728161593</v>
      </c>
      <c r="W53" s="82">
        <f>+'Project Orto'!W31</f>
        <v>1.995653427651E-2</v>
      </c>
      <c r="X53" s="82">
        <f>+'Project Orto'!X31</f>
        <v>111.51000000000002</v>
      </c>
      <c r="Y53" s="82">
        <f>+'Project Orto'!Y31</f>
        <v>41.687258687258691</v>
      </c>
      <c r="Z53" s="82">
        <f>+'Project Orto'!Z31</f>
        <v>1.8802096585428572</v>
      </c>
      <c r="AA53" s="82">
        <f>+'Project Orto'!AA31</f>
        <v>0.37861692152790888</v>
      </c>
      <c r="AB53" s="82">
        <f>+'Project Orto'!AB31</f>
        <v>0</v>
      </c>
      <c r="AC53" s="83">
        <f t="shared" si="13"/>
        <v>161.46722157442215</v>
      </c>
      <c r="AD53" s="93">
        <f t="shared" si="14"/>
        <v>13.455601797868512</v>
      </c>
      <c r="AE53" s="93">
        <f t="shared" si="15"/>
        <v>15</v>
      </c>
      <c r="AF53" s="90">
        <f t="shared" si="16"/>
        <v>1.5443982021314877</v>
      </c>
      <c r="AG53" s="91">
        <f t="shared" si="17"/>
        <v>0.11477734146206187</v>
      </c>
      <c r="AH53" s="92">
        <f t="shared" si="18"/>
        <v>180</v>
      </c>
    </row>
    <row r="54" spans="1:35" x14ac:dyDescent="0.3">
      <c r="A54" s="223"/>
      <c r="B54" s="4" t="str">
        <f t="shared" ref="B54:J54" si="37">+B25</f>
        <v>ORTO</v>
      </c>
      <c r="C54" s="4" t="str">
        <f t="shared" si="37"/>
        <v>Bicchiere colonna twist alto</v>
      </c>
      <c r="D54" s="5">
        <f t="shared" si="37"/>
        <v>1</v>
      </c>
      <c r="E54" s="5">
        <f t="shared" si="37"/>
        <v>1</v>
      </c>
      <c r="F54" s="5">
        <f t="shared" si="37"/>
        <v>0.57999999999999996</v>
      </c>
      <c r="G54" s="5">
        <f t="shared" si="37"/>
        <v>58</v>
      </c>
      <c r="H54" s="4">
        <f t="shared" si="37"/>
        <v>9.4065272999999995E-5</v>
      </c>
      <c r="I54" s="6">
        <f t="shared" si="37"/>
        <v>0.26129242499999999</v>
      </c>
      <c r="J54" s="6">
        <f t="shared" si="37"/>
        <v>0.23516318249999998</v>
      </c>
      <c r="R54" s="5">
        <f>+'Project Orto'!R32</f>
        <v>12</v>
      </c>
      <c r="S54" s="6">
        <f>+'Project Orto'!S32</f>
        <v>696</v>
      </c>
      <c r="T54" s="6">
        <f>+'Project Orto'!T32</f>
        <v>3.1355091000000002</v>
      </c>
      <c r="U54" s="6">
        <f>+'Project Orto'!U32</f>
        <v>2.8219581899999997</v>
      </c>
      <c r="V54" s="81">
        <f>+'Project Orto'!V32</f>
        <v>5.8896343529379198</v>
      </c>
      <c r="W54" s="82">
        <f>+'Project Orto'!W32</f>
        <v>1.9158274151909998E-2</v>
      </c>
      <c r="X54" s="82">
        <f>+'Project Orto'!X32</f>
        <v>109.62000000000002</v>
      </c>
      <c r="Y54" s="82">
        <f>+'Project Orto'!Y32</f>
        <v>40.980694980694977</v>
      </c>
      <c r="Z54" s="82">
        <f>+'Project Orto'!Z32</f>
        <v>1.8483416982285714</v>
      </c>
      <c r="AA54" s="82">
        <f>+'Project Orto'!AA32</f>
        <v>0.36347226831473628</v>
      </c>
      <c r="AB54" s="82">
        <f>+'Project Orto'!AB32</f>
        <v>0</v>
      </c>
      <c r="AC54" s="83">
        <f t="shared" si="13"/>
        <v>158.72130157432812</v>
      </c>
      <c r="AD54" s="93">
        <f t="shared" si="14"/>
        <v>13.22677513119401</v>
      </c>
      <c r="AE54" s="93">
        <f t="shared" si="15"/>
        <v>15</v>
      </c>
      <c r="AF54" s="90">
        <f t="shared" si="16"/>
        <v>1.7732248688059897</v>
      </c>
      <c r="AG54" s="91">
        <f t="shared" si="17"/>
        <v>0.13406328082376015</v>
      </c>
      <c r="AH54" s="92">
        <f t="shared" si="18"/>
        <v>180</v>
      </c>
    </row>
    <row r="55" spans="1:35" x14ac:dyDescent="0.3">
      <c r="A55" s="223"/>
      <c r="B55" s="4" t="str">
        <f t="shared" ref="B55:J55" si="38">+B26</f>
        <v>LA GALLINA</v>
      </c>
      <c r="C55" s="4" t="str">
        <f t="shared" si="38"/>
        <v>Oliera1</v>
      </c>
      <c r="D55" s="5">
        <f t="shared" si="38"/>
        <v>2</v>
      </c>
      <c r="E55" s="5">
        <f t="shared" si="38"/>
        <v>1</v>
      </c>
      <c r="F55" s="5">
        <f t="shared" si="38"/>
        <v>0.54</v>
      </c>
      <c r="G55" s="5">
        <f t="shared" si="38"/>
        <v>54</v>
      </c>
      <c r="H55" s="4">
        <f t="shared" si="38"/>
        <v>1.830542E-4</v>
      </c>
      <c r="I55" s="6">
        <f t="shared" si="38"/>
        <v>0.50848388888888885</v>
      </c>
      <c r="J55" s="6">
        <f t="shared" si="38"/>
        <v>0.45763549999999997</v>
      </c>
      <c r="R55" s="5">
        <f>+'Project La Gallina'!R13</f>
        <v>10</v>
      </c>
      <c r="S55" s="6">
        <f>+'Project La Gallina'!S13</f>
        <v>540</v>
      </c>
      <c r="T55" s="6">
        <f>+'Project La Gallina'!T13</f>
        <v>5.0848388888888882</v>
      </c>
      <c r="U55" s="6">
        <f>+'Project La Gallina'!U13</f>
        <v>4.5763549999999995</v>
      </c>
      <c r="V55" s="81">
        <f>+'Project La Gallina'!V13</f>
        <v>4.5695438945208</v>
      </c>
      <c r="W55" s="82">
        <f>+'Project La Gallina'!W13</f>
        <v>3.1068874094999997E-2</v>
      </c>
      <c r="X55" s="82">
        <f>+'Project La Gallina'!X13</f>
        <v>85.050000000000011</v>
      </c>
      <c r="Y55" s="82">
        <f>+'Project La Gallina'!Y13</f>
        <v>31.795366795366796</v>
      </c>
      <c r="Z55" s="82">
        <f>+'Project La Gallina'!Z13</f>
        <v>1.2857142857142856</v>
      </c>
      <c r="AA55" s="82">
        <f>+'Project La Gallina'!AA13</f>
        <v>0.5894410974471187</v>
      </c>
      <c r="AB55" s="82">
        <f>+'Project La Gallina'!AB13</f>
        <v>0</v>
      </c>
      <c r="AC55" s="83">
        <f t="shared" si="13"/>
        <v>123.32113494714402</v>
      </c>
      <c r="AD55" s="93">
        <f t="shared" si="14"/>
        <v>12.332113494714402</v>
      </c>
      <c r="AE55" s="93">
        <f t="shared" si="15"/>
        <v>20</v>
      </c>
      <c r="AF55" s="90">
        <f t="shared" si="16"/>
        <v>7.6678865052855976</v>
      </c>
      <c r="AG55" s="91">
        <f t="shared" si="17"/>
        <v>0.62178202532534976</v>
      </c>
      <c r="AH55" s="92">
        <f t="shared" si="18"/>
        <v>200</v>
      </c>
    </row>
    <row r="56" spans="1:35" ht="15" thickBot="1" x14ac:dyDescent="0.35">
      <c r="A56" s="224"/>
      <c r="B56" s="4" t="str">
        <f t="shared" ref="B56:J56" si="39">+B27</f>
        <v>LA GALLINA</v>
      </c>
      <c r="C56" s="4" t="str">
        <f t="shared" si="39"/>
        <v>Piatto spirale</v>
      </c>
      <c r="D56" s="5">
        <f t="shared" si="39"/>
        <v>4</v>
      </c>
      <c r="E56" s="5">
        <f t="shared" si="39"/>
        <v>5</v>
      </c>
      <c r="F56" s="5">
        <f t="shared" si="39"/>
        <v>0.25</v>
      </c>
      <c r="G56" s="5">
        <f t="shared" si="39"/>
        <v>25</v>
      </c>
      <c r="H56" s="4">
        <f t="shared" si="39"/>
        <v>1.575448E-4</v>
      </c>
      <c r="I56" s="6">
        <f t="shared" si="39"/>
        <v>0.43762444444444443</v>
      </c>
      <c r="J56" s="6">
        <f t="shared" si="39"/>
        <v>0.39386199999999999</v>
      </c>
      <c r="R56" s="5">
        <f>+'Project La Gallina'!R14</f>
        <v>10</v>
      </c>
      <c r="S56" s="6">
        <f>+'Project La Gallina'!S14</f>
        <v>250</v>
      </c>
      <c r="T56" s="6">
        <f>+'Project La Gallina'!T14</f>
        <v>4.3762444444444446</v>
      </c>
      <c r="U56" s="6">
        <f>+'Project La Gallina'!U14</f>
        <v>3.9386199999999998</v>
      </c>
      <c r="V56" s="84">
        <f>+'Project La Gallina'!V14</f>
        <v>2.1155295807966668</v>
      </c>
      <c r="W56" s="85">
        <f>+'Project La Gallina'!W14</f>
        <v>2.6739291179999999E-2</v>
      </c>
      <c r="X56" s="85">
        <f>+'Project La Gallina'!X14</f>
        <v>39.375000000000007</v>
      </c>
      <c r="Y56" s="85">
        <f>+'Project La Gallina'!Y14</f>
        <v>14.72007722007722</v>
      </c>
      <c r="Z56" s="85">
        <f>+'Project La Gallina'!Z14</f>
        <v>0.59523809523809523</v>
      </c>
      <c r="AA56" s="85">
        <f>+'Project La Gallina'!AA14</f>
        <v>0.50729991340863434</v>
      </c>
      <c r="AB56" s="85">
        <f>+'Project La Gallina'!AB14</f>
        <v>0</v>
      </c>
      <c r="AC56" s="83">
        <f t="shared" si="13"/>
        <v>57.33988410070063</v>
      </c>
      <c r="AD56" s="93">
        <f t="shared" si="14"/>
        <v>5.7339884100700633</v>
      </c>
      <c r="AE56" s="93">
        <f t="shared" si="15"/>
        <v>15</v>
      </c>
      <c r="AF56" s="90">
        <f t="shared" si="16"/>
        <v>9.2660115899299367</v>
      </c>
      <c r="AG56" s="91">
        <f t="shared" si="17"/>
        <v>1.6159801742286248</v>
      </c>
      <c r="AH56" s="92">
        <f t="shared" si="18"/>
        <v>150</v>
      </c>
    </row>
    <row r="59" spans="1:35" ht="18.600000000000001" thickBot="1" x14ac:dyDescent="0.4">
      <c r="D59" s="237" t="s">
        <v>40</v>
      </c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10" t="s">
        <v>32</v>
      </c>
      <c r="S59" s="87">
        <f>+S61/60/7</f>
        <v>20.461904761904758</v>
      </c>
      <c r="T59" s="88" t="s">
        <v>83</v>
      </c>
    </row>
    <row r="60" spans="1:35" x14ac:dyDescent="0.3">
      <c r="D60" s="236" t="s">
        <v>33</v>
      </c>
      <c r="E60" s="236"/>
      <c r="F60" s="236"/>
      <c r="G60" s="236"/>
      <c r="H60" s="236"/>
      <c r="I60" s="236"/>
      <c r="J60" s="236"/>
      <c r="M60" s="236" t="s">
        <v>36</v>
      </c>
      <c r="N60" s="236"/>
      <c r="O60" s="236"/>
      <c r="P60" s="236"/>
      <c r="Q60" s="236"/>
      <c r="V60" s="238" t="s">
        <v>135</v>
      </c>
      <c r="W60" s="239"/>
      <c r="X60" s="239"/>
      <c r="Y60" s="239"/>
      <c r="Z60" s="239"/>
      <c r="AA60" s="239"/>
      <c r="AB60" s="239"/>
      <c r="AC60" s="240"/>
    </row>
    <row r="61" spans="1:35" ht="18" x14ac:dyDescent="0.35">
      <c r="B61" s="178" t="s">
        <v>461</v>
      </c>
      <c r="F61" s="225" t="s">
        <v>44</v>
      </c>
      <c r="G61" s="225"/>
      <c r="I61" s="20">
        <f>SUBTOTAL(9,I63:I85)</f>
        <v>59.570075669444442</v>
      </c>
      <c r="J61" s="20">
        <f>SUBTOTAL(9,J63:J85)</f>
        <v>53.613068102499987</v>
      </c>
      <c r="K61" s="1">
        <f>+'Finished goods'!$I$3</f>
        <v>2500</v>
      </c>
      <c r="L61" s="1">
        <f>+'Finished goods'!$J$3</f>
        <v>0.9</v>
      </c>
      <c r="M61" s="15">
        <f>+'Finished goods'!$K$3</f>
        <v>0.50772709939119998</v>
      </c>
      <c r="N61" s="15">
        <f>+'Finished goods'!$L$3</f>
        <v>6.7889999999999999E-3</v>
      </c>
      <c r="O61" s="13">
        <f>+'Finished goods'!$M$3</f>
        <v>0.15750000000000003</v>
      </c>
      <c r="P61" s="46">
        <f>+'Finished goods'!$N$3</f>
        <v>5.8880308880308881E-2</v>
      </c>
      <c r="Q61" s="1"/>
      <c r="S61" s="17">
        <f>SUBTOTAL(9,S63:S85)</f>
        <v>8594</v>
      </c>
      <c r="T61" s="17">
        <f>SUBTOTAL(9,T63:T85)</f>
        <v>162.95047083611109</v>
      </c>
      <c r="U61" s="75">
        <f>SUBTOTAL(9,U63:U85)</f>
        <v>146.65542375250001</v>
      </c>
      <c r="V61" s="77">
        <f t="shared" ref="V61:AC61" si="40">SUBTOTAL(9,V63:V85)</f>
        <v>72.723444869466206</v>
      </c>
      <c r="W61" s="17">
        <f t="shared" si="40"/>
        <v>0.99564367185572245</v>
      </c>
      <c r="X61" s="17">
        <f t="shared" si="40"/>
        <v>1353.5550000000003</v>
      </c>
      <c r="Y61" s="17">
        <f t="shared" si="40"/>
        <v>506.01737451737455</v>
      </c>
      <c r="Z61" s="17">
        <f t="shared" si="40"/>
        <v>22.605749238676189</v>
      </c>
      <c r="AA61" s="17">
        <f t="shared" si="40"/>
        <v>18.889429234236815</v>
      </c>
      <c r="AB61" s="17">
        <f t="shared" si="40"/>
        <v>468</v>
      </c>
      <c r="AC61" s="78">
        <f t="shared" si="40"/>
        <v>2442.7866415316093</v>
      </c>
      <c r="AF61" s="225" t="s">
        <v>118</v>
      </c>
      <c r="AG61" s="225"/>
      <c r="AH61" s="108">
        <f t="shared" ref="AH61" si="41">SUBTOTAL(9,AH63:AH85)</f>
        <v>8320</v>
      </c>
      <c r="AI61" s="95"/>
    </row>
    <row r="62" spans="1:35" x14ac:dyDescent="0.3">
      <c r="A62" s="1" t="s">
        <v>145</v>
      </c>
      <c r="B62" s="1" t="s">
        <v>30</v>
      </c>
      <c r="C62" s="1" t="s">
        <v>0</v>
      </c>
      <c r="D62" s="1" t="s">
        <v>4</v>
      </c>
      <c r="E62" s="1" t="s">
        <v>5</v>
      </c>
      <c r="F62" s="1" t="s">
        <v>45</v>
      </c>
      <c r="G62" s="1" t="s">
        <v>57</v>
      </c>
      <c r="H62" s="1" t="s">
        <v>6</v>
      </c>
      <c r="I62" s="1" t="s">
        <v>2</v>
      </c>
      <c r="J62" s="1" t="s">
        <v>7</v>
      </c>
      <c r="K62" s="1" t="s">
        <v>31</v>
      </c>
      <c r="L62" s="1" t="s">
        <v>8</v>
      </c>
      <c r="M62" s="1" t="s">
        <v>34</v>
      </c>
      <c r="N62" s="1" t="s">
        <v>35</v>
      </c>
      <c r="O62" s="1" t="s">
        <v>37</v>
      </c>
      <c r="P62" s="1" t="s">
        <v>93</v>
      </c>
      <c r="Q62" s="1" t="s">
        <v>94</v>
      </c>
      <c r="R62" s="11" t="s">
        <v>39</v>
      </c>
      <c r="S62" s="2" t="s">
        <v>43</v>
      </c>
      <c r="T62" s="2" t="s">
        <v>2</v>
      </c>
      <c r="U62" s="76" t="s">
        <v>7</v>
      </c>
      <c r="V62" s="2" t="str">
        <f>+V4</f>
        <v>energia €/h</v>
      </c>
      <c r="W62" s="2" t="str">
        <f t="shared" ref="W62:AB62" si="42">+W4</f>
        <v>materiale €/Kg</v>
      </c>
      <c r="X62" s="2" t="str">
        <f t="shared" si="42"/>
        <v>mod</v>
      </c>
      <c r="Y62" s="2" t="str">
        <f t="shared" si="42"/>
        <v>ammort</v>
      </c>
      <c r="Z62" s="2" t="str">
        <f t="shared" si="42"/>
        <v>Accensione</v>
      </c>
      <c r="AA62" s="2" t="str">
        <f t="shared" si="42"/>
        <v>trasporto</v>
      </c>
      <c r="AB62" s="2" t="str">
        <f t="shared" si="42"/>
        <v>forniture</v>
      </c>
      <c r="AC62" s="80" t="s">
        <v>42</v>
      </c>
      <c r="AD62" s="53" t="s">
        <v>116</v>
      </c>
      <c r="AE62" s="1" t="s">
        <v>117</v>
      </c>
      <c r="AF62" s="1" t="s">
        <v>119</v>
      </c>
      <c r="AG62" s="1" t="s">
        <v>120</v>
      </c>
      <c r="AH62" s="1" t="s">
        <v>121</v>
      </c>
    </row>
    <row r="63" spans="1:35" ht="14.4" customHeight="1" x14ac:dyDescent="0.3">
      <c r="A63" s="222" t="s">
        <v>413</v>
      </c>
      <c r="B63" s="4" t="str">
        <f>+B34</f>
        <v>OSTELLIERE</v>
      </c>
      <c r="C63" s="4" t="str">
        <f>+C34</f>
        <v>Tavolo twist Logo</v>
      </c>
      <c r="D63" s="5">
        <f>+D34</f>
        <v>8</v>
      </c>
      <c r="E63" s="5">
        <f>+E34</f>
        <v>10</v>
      </c>
      <c r="F63" s="5">
        <f>+F34</f>
        <v>1.22</v>
      </c>
      <c r="G63" s="5">
        <f t="shared" ref="G63:J63" si="43">+G34</f>
        <v>82</v>
      </c>
      <c r="H63" s="4">
        <f t="shared" si="43"/>
        <v>7.9769999999999997E-3</v>
      </c>
      <c r="I63" s="6">
        <f t="shared" si="43"/>
        <v>22.158333333333331</v>
      </c>
      <c r="J63" s="6">
        <f t="shared" si="43"/>
        <v>19.942499999999999</v>
      </c>
      <c r="R63" s="5">
        <f>+'Project Ostelliere'!R37</f>
        <v>2</v>
      </c>
      <c r="S63" s="6">
        <f>+'Project Ostelliere'!S37</f>
        <v>164</v>
      </c>
      <c r="T63" s="6">
        <f>+'Project Ostelliere'!T37</f>
        <v>44.316666666666663</v>
      </c>
      <c r="U63" s="6">
        <f>+'Project Ostelliere'!U37</f>
        <v>39.884999999999998</v>
      </c>
      <c r="V63" s="81">
        <f>+V34</f>
        <v>1.3877874050026131</v>
      </c>
      <c r="W63" s="82">
        <f t="shared" ref="W63:AB63" si="44">+W34</f>
        <v>0.27077926499999999</v>
      </c>
      <c r="X63" s="82">
        <f t="shared" si="44"/>
        <v>25.830000000000005</v>
      </c>
      <c r="Y63" s="82">
        <f t="shared" si="44"/>
        <v>9.6563706563706564</v>
      </c>
      <c r="Z63" s="82">
        <f t="shared" si="44"/>
        <v>0.43552879096190478</v>
      </c>
      <c r="AA63" s="82">
        <f t="shared" si="44"/>
        <v>5.1372452905594805</v>
      </c>
      <c r="AB63" s="82">
        <f t="shared" si="44"/>
        <v>300</v>
      </c>
      <c r="AC63" s="83">
        <f>SUM(V63:AB63)</f>
        <v>342.71771140789463</v>
      </c>
      <c r="AD63" s="93">
        <f>+AC63/R63</f>
        <v>171.35885570394731</v>
      </c>
      <c r="AE63" s="93">
        <f>+AE34</f>
        <v>800</v>
      </c>
      <c r="AF63" s="90">
        <f>+AE63-AD63</f>
        <v>628.64114429605274</v>
      </c>
      <c r="AG63" s="91">
        <f>+AF63/AD63</f>
        <v>3.6685652557235873</v>
      </c>
      <c r="AH63" s="92">
        <f>+AE63*R63</f>
        <v>1600</v>
      </c>
    </row>
    <row r="64" spans="1:35" x14ac:dyDescent="0.3">
      <c r="A64" s="223"/>
      <c r="B64" s="4" t="str">
        <f t="shared" ref="B64:AB64" si="45">+B35</f>
        <v>OSTELLIERE</v>
      </c>
      <c r="C64" s="4" t="str">
        <f t="shared" si="45"/>
        <v xml:space="preserve">Vaso bitorzolo curvo </v>
      </c>
      <c r="D64" s="5">
        <f t="shared" si="45"/>
        <v>4</v>
      </c>
      <c r="E64" s="5">
        <f t="shared" si="45"/>
        <v>2</v>
      </c>
      <c r="F64" s="5">
        <f t="shared" si="45"/>
        <v>5.21</v>
      </c>
      <c r="G64" s="5">
        <f t="shared" si="45"/>
        <v>321</v>
      </c>
      <c r="H64" s="4">
        <f t="shared" si="45"/>
        <v>6.0029599999999995E-4</v>
      </c>
      <c r="I64" s="6">
        <f t="shared" si="45"/>
        <v>1.6674888888888888</v>
      </c>
      <c r="J64" s="6">
        <f t="shared" si="45"/>
        <v>1.50074</v>
      </c>
      <c r="R64" s="5">
        <f>+'Project Ostelliere'!R38</f>
        <v>2</v>
      </c>
      <c r="S64" s="6">
        <f>+'Project Ostelliere'!S38</f>
        <v>642</v>
      </c>
      <c r="T64" s="6">
        <f>+'Project Ostelliere'!T38</f>
        <v>3.3349777777777776</v>
      </c>
      <c r="U64" s="6">
        <f>+'Project Ostelliere'!U38</f>
        <v>3.0014799999999999</v>
      </c>
      <c r="V64" s="81">
        <f t="shared" si="45"/>
        <v>5.4326799634858398</v>
      </c>
      <c r="W64" s="82">
        <f t="shared" si="45"/>
        <v>2.0377047719999999E-2</v>
      </c>
      <c r="X64" s="82">
        <f t="shared" si="45"/>
        <v>101.11500000000002</v>
      </c>
      <c r="Y64" s="82">
        <f t="shared" si="45"/>
        <v>37.801158301158303</v>
      </c>
      <c r="Z64" s="82">
        <f t="shared" si="45"/>
        <v>1.7049358768142857</v>
      </c>
      <c r="AA64" s="82">
        <f t="shared" si="45"/>
        <v>0.38659493530671857</v>
      </c>
      <c r="AB64" s="82">
        <f t="shared" si="45"/>
        <v>0</v>
      </c>
      <c r="AC64" s="83">
        <f t="shared" ref="AC64:AC85" si="46">SUM(V64:AB64)</f>
        <v>146.46074612448518</v>
      </c>
      <c r="AD64" s="93">
        <f t="shared" ref="AD64:AD85" si="47">+AC64/R64</f>
        <v>73.230373062242592</v>
      </c>
      <c r="AE64" s="93">
        <f t="shared" ref="AE64:AE85" si="48">+AE35</f>
        <v>250</v>
      </c>
      <c r="AF64" s="90">
        <f t="shared" ref="AF64:AF85" si="49">+AE64-AD64</f>
        <v>176.76962693775741</v>
      </c>
      <c r="AG64" s="91">
        <f t="shared" ref="AG64:AG85" si="50">+AF64/AD64</f>
        <v>2.4138840148678611</v>
      </c>
      <c r="AH64" s="92">
        <f t="shared" ref="AH64:AH85" si="51">+AE64*R64</f>
        <v>500</v>
      </c>
    </row>
    <row r="65" spans="1:34" x14ac:dyDescent="0.3">
      <c r="A65" s="223"/>
      <c r="B65" s="4" t="str">
        <f t="shared" ref="B65:AB65" si="52">+B36</f>
        <v>OSTELLIERE</v>
      </c>
      <c r="C65" s="4" t="str">
        <f t="shared" si="52"/>
        <v>Vaso bitorzolo twist</v>
      </c>
      <c r="D65" s="5">
        <f t="shared" si="52"/>
        <v>4</v>
      </c>
      <c r="E65" s="5">
        <f t="shared" si="52"/>
        <v>2</v>
      </c>
      <c r="F65" s="5">
        <f t="shared" si="52"/>
        <v>5.15</v>
      </c>
      <c r="G65" s="5">
        <f t="shared" si="52"/>
        <v>315</v>
      </c>
      <c r="H65" s="4">
        <f t="shared" si="52"/>
        <v>8.005105E-4</v>
      </c>
      <c r="I65" s="6">
        <f t="shared" si="52"/>
        <v>2.2236402777777777</v>
      </c>
      <c r="J65" s="6">
        <f t="shared" si="52"/>
        <v>2.0012762500000001</v>
      </c>
      <c r="R65" s="5">
        <f>+'Project Ostelliere'!R39</f>
        <v>2</v>
      </c>
      <c r="S65" s="6">
        <f>+'Project Ostelliere'!S39</f>
        <v>630</v>
      </c>
      <c r="T65" s="6">
        <f>+'Project Ostelliere'!T39</f>
        <v>4.4472805555555555</v>
      </c>
      <c r="U65" s="6">
        <f>+'Project Ostelliere'!U39</f>
        <v>4.0025525000000002</v>
      </c>
      <c r="V65" s="81">
        <f t="shared" si="52"/>
        <v>5.3311345436076003</v>
      </c>
      <c r="W65" s="82">
        <f t="shared" si="52"/>
        <v>2.71733289225E-2</v>
      </c>
      <c r="X65" s="82">
        <f t="shared" si="52"/>
        <v>99.225000000000023</v>
      </c>
      <c r="Y65" s="82">
        <f t="shared" si="52"/>
        <v>37.094594594594597</v>
      </c>
      <c r="Z65" s="82">
        <f t="shared" si="52"/>
        <v>1.6730679165000002</v>
      </c>
      <c r="AA65" s="82">
        <f t="shared" si="52"/>
        <v>0.51553451124086935</v>
      </c>
      <c r="AB65" s="82">
        <f t="shared" si="52"/>
        <v>0</v>
      </c>
      <c r="AC65" s="83">
        <f t="shared" si="46"/>
        <v>143.86650489486561</v>
      </c>
      <c r="AD65" s="93">
        <f t="shared" si="47"/>
        <v>71.933252447432807</v>
      </c>
      <c r="AE65" s="93">
        <f t="shared" si="48"/>
        <v>250</v>
      </c>
      <c r="AF65" s="90">
        <f t="shared" si="49"/>
        <v>178.06674755256719</v>
      </c>
      <c r="AG65" s="91">
        <f t="shared" si="50"/>
        <v>2.475444130413738</v>
      </c>
      <c r="AH65" s="92">
        <f t="shared" si="51"/>
        <v>500</v>
      </c>
    </row>
    <row r="66" spans="1:34" x14ac:dyDescent="0.3">
      <c r="A66" s="223"/>
      <c r="B66" s="4" t="str">
        <f t="shared" ref="B66:AB66" si="53">+B37</f>
        <v>OSTELLIERE</v>
      </c>
      <c r="C66" s="4" t="str">
        <f t="shared" si="53"/>
        <v>Vaso bitorzolo dritto</v>
      </c>
      <c r="D66" s="5">
        <f t="shared" si="53"/>
        <v>4</v>
      </c>
      <c r="E66" s="5">
        <f t="shared" si="53"/>
        <v>2</v>
      </c>
      <c r="F66" s="5">
        <f t="shared" si="53"/>
        <v>4.4800000000000004</v>
      </c>
      <c r="G66" s="5">
        <f t="shared" si="53"/>
        <v>288</v>
      </c>
      <c r="H66" s="4">
        <f t="shared" si="53"/>
        <v>8.2321687099999998E-4</v>
      </c>
      <c r="I66" s="6">
        <f t="shared" si="53"/>
        <v>2.2867135305555553</v>
      </c>
      <c r="J66" s="6">
        <f t="shared" si="53"/>
        <v>2.0580421775</v>
      </c>
      <c r="R66" s="5">
        <f>+'Project Ostelliere'!R40</f>
        <v>2</v>
      </c>
      <c r="S66" s="6">
        <f>+'Project Ostelliere'!S40</f>
        <v>576</v>
      </c>
      <c r="T66" s="6">
        <f>+'Project Ostelliere'!T40</f>
        <v>4.5734270611111105</v>
      </c>
      <c r="U66" s="6">
        <f>+'Project Ostelliere'!U40</f>
        <v>4.1160843549999999</v>
      </c>
      <c r="V66" s="81">
        <f t="shared" si="53"/>
        <v>4.8741801541555203</v>
      </c>
      <c r="W66" s="82">
        <f t="shared" si="53"/>
        <v>2.7944096686094998E-2</v>
      </c>
      <c r="X66" s="82">
        <f t="shared" si="53"/>
        <v>90.720000000000013</v>
      </c>
      <c r="Y66" s="82">
        <f t="shared" si="53"/>
        <v>33.915057915057915</v>
      </c>
      <c r="Z66" s="82">
        <f t="shared" si="53"/>
        <v>1.5296620950857143</v>
      </c>
      <c r="AA66" s="82">
        <f t="shared" si="53"/>
        <v>0.53015757724130141</v>
      </c>
      <c r="AB66" s="82">
        <f t="shared" si="53"/>
        <v>0</v>
      </c>
      <c r="AC66" s="83">
        <f t="shared" si="46"/>
        <v>131.59700183822656</v>
      </c>
      <c r="AD66" s="93">
        <f t="shared" si="47"/>
        <v>65.79850091911328</v>
      </c>
      <c r="AE66" s="93">
        <f t="shared" si="48"/>
        <v>250</v>
      </c>
      <c r="AF66" s="90">
        <f t="shared" si="49"/>
        <v>184.20149908088672</v>
      </c>
      <c r="AG66" s="91">
        <f t="shared" si="50"/>
        <v>2.7994786584473612</v>
      </c>
      <c r="AH66" s="92">
        <f t="shared" si="51"/>
        <v>500</v>
      </c>
    </row>
    <row r="67" spans="1:34" x14ac:dyDescent="0.3">
      <c r="A67" s="223"/>
      <c r="B67" s="4" t="str">
        <f t="shared" ref="B67:AB67" si="54">+B38</f>
        <v>OSTELLIERE</v>
      </c>
      <c r="C67" s="4" t="str">
        <f t="shared" si="54"/>
        <v>Porta riviste</v>
      </c>
      <c r="D67" s="5">
        <f t="shared" si="54"/>
        <v>10</v>
      </c>
      <c r="E67" s="5">
        <f t="shared" si="54"/>
        <v>10</v>
      </c>
      <c r="F67" s="5">
        <f t="shared" si="54"/>
        <v>0.42</v>
      </c>
      <c r="G67" s="5">
        <f t="shared" si="54"/>
        <v>42</v>
      </c>
      <c r="H67" s="4">
        <f t="shared" si="54"/>
        <v>3.5606798E-3</v>
      </c>
      <c r="I67" s="6">
        <f t="shared" si="54"/>
        <v>9.890777222222221</v>
      </c>
      <c r="J67" s="6">
        <f t="shared" si="54"/>
        <v>8.9016994999999994</v>
      </c>
      <c r="R67" s="5">
        <f>+'Project Ostelliere'!R41</f>
        <v>2</v>
      </c>
      <c r="S67" s="6">
        <f>+'Project Ostelliere'!S41</f>
        <v>84</v>
      </c>
      <c r="T67" s="6">
        <f>+'Project Ostelliere'!T41</f>
        <v>19.781554444444442</v>
      </c>
      <c r="U67" s="6">
        <f>+'Project Ostelliere'!U41</f>
        <v>17.803398999999999</v>
      </c>
      <c r="V67" s="81">
        <f t="shared" si="54"/>
        <v>0.71081793914767988</v>
      </c>
      <c r="W67" s="82">
        <f t="shared" si="54"/>
        <v>0.12086727581099999</v>
      </c>
      <c r="X67" s="82">
        <f t="shared" si="54"/>
        <v>13.230000000000002</v>
      </c>
      <c r="Y67" s="82">
        <f t="shared" si="54"/>
        <v>4.9459459459459456</v>
      </c>
      <c r="Z67" s="82">
        <f t="shared" si="54"/>
        <v>0.22307572219999999</v>
      </c>
      <c r="AA67" s="82">
        <f t="shared" si="54"/>
        <v>2.2931033638887142</v>
      </c>
      <c r="AB67" s="82">
        <f t="shared" si="54"/>
        <v>0</v>
      </c>
      <c r="AC67" s="83">
        <f t="shared" si="46"/>
        <v>21.523810246993346</v>
      </c>
      <c r="AD67" s="93">
        <f t="shared" si="47"/>
        <v>10.761905123496673</v>
      </c>
      <c r="AE67" s="93">
        <f t="shared" si="48"/>
        <v>130</v>
      </c>
      <c r="AF67" s="90">
        <f t="shared" si="49"/>
        <v>119.23809487650333</v>
      </c>
      <c r="AG67" s="91">
        <f t="shared" si="50"/>
        <v>11.079645611832103</v>
      </c>
      <c r="AH67" s="92">
        <f t="shared" si="51"/>
        <v>260</v>
      </c>
    </row>
    <row r="68" spans="1:34" x14ac:dyDescent="0.3">
      <c r="A68" s="223"/>
      <c r="B68" s="4" t="str">
        <f t="shared" ref="B68:AB68" si="55">+B39</f>
        <v>OSTELLIERE</v>
      </c>
      <c r="C68" s="4" t="str">
        <f t="shared" si="55"/>
        <v>Lampada 90 grossa</v>
      </c>
      <c r="D68" s="5">
        <f t="shared" si="55"/>
        <v>8</v>
      </c>
      <c r="E68" s="5">
        <f t="shared" si="55"/>
        <v>10</v>
      </c>
      <c r="F68" s="5">
        <f t="shared" si="55"/>
        <v>1.39</v>
      </c>
      <c r="G68" s="5">
        <f t="shared" si="55"/>
        <v>99</v>
      </c>
      <c r="H68" s="4">
        <f t="shared" si="55"/>
        <v>1.7366300000000001E-3</v>
      </c>
      <c r="I68" s="6">
        <f t="shared" si="55"/>
        <v>4.8239722222222232</v>
      </c>
      <c r="J68" s="6">
        <f t="shared" si="55"/>
        <v>4.3415750000000006</v>
      </c>
      <c r="R68" s="5">
        <f>+'Project Ostelliere'!R42</f>
        <v>1</v>
      </c>
      <c r="S68" s="6">
        <f>+'Project Ostelliere'!S42</f>
        <v>99</v>
      </c>
      <c r="T68" s="6">
        <f>+'Project Ostelliere'!T42</f>
        <v>4.8239722222222232</v>
      </c>
      <c r="U68" s="6">
        <f>+'Project Ostelliere'!U42</f>
        <v>4.3415750000000006</v>
      </c>
      <c r="V68" s="81">
        <f t="shared" si="55"/>
        <v>0.83774971399547993</v>
      </c>
      <c r="W68" s="82">
        <f t="shared" si="55"/>
        <v>2.9474952675000003E-2</v>
      </c>
      <c r="X68" s="82">
        <f t="shared" si="55"/>
        <v>15.592500000000003</v>
      </c>
      <c r="Y68" s="82">
        <f t="shared" si="55"/>
        <v>5.8291505791505793</v>
      </c>
      <c r="Z68" s="82">
        <f t="shared" si="55"/>
        <v>0.26291067259285716</v>
      </c>
      <c r="AA68" s="82">
        <f t="shared" si="55"/>
        <v>0.55920109621062508</v>
      </c>
      <c r="AB68" s="82">
        <f t="shared" si="55"/>
        <v>24</v>
      </c>
      <c r="AC68" s="83">
        <f t="shared" si="46"/>
        <v>47.110987014624541</v>
      </c>
      <c r="AD68" s="93">
        <f t="shared" si="47"/>
        <v>47.110987014624541</v>
      </c>
      <c r="AE68" s="93">
        <f t="shared" si="48"/>
        <v>400</v>
      </c>
      <c r="AF68" s="90">
        <f t="shared" si="49"/>
        <v>352.88901298537547</v>
      </c>
      <c r="AG68" s="91">
        <f t="shared" si="50"/>
        <v>7.4905884029945931</v>
      </c>
      <c r="AH68" s="92">
        <f t="shared" si="51"/>
        <v>400</v>
      </c>
    </row>
    <row r="69" spans="1:34" x14ac:dyDescent="0.3">
      <c r="A69" s="223"/>
      <c r="B69" s="4" t="str">
        <f t="shared" ref="B69:AB69" si="56">+B40</f>
        <v>OSTELLIERE</v>
      </c>
      <c r="C69" s="4" t="str">
        <f t="shared" si="56"/>
        <v>Lampada 90 piccola</v>
      </c>
      <c r="D69" s="5">
        <f t="shared" si="56"/>
        <v>5</v>
      </c>
      <c r="E69" s="5">
        <f t="shared" si="56"/>
        <v>10</v>
      </c>
      <c r="F69" s="5">
        <f t="shared" si="56"/>
        <v>1.1499999999999999</v>
      </c>
      <c r="G69" s="5">
        <f t="shared" si="56"/>
        <v>75</v>
      </c>
      <c r="H69" s="4">
        <f t="shared" si="56"/>
        <v>8.1557296000000004E-4</v>
      </c>
      <c r="I69" s="6">
        <f t="shared" si="56"/>
        <v>2.2654804444444445</v>
      </c>
      <c r="J69" s="6">
        <f t="shared" si="56"/>
        <v>2.0389324000000002</v>
      </c>
      <c r="R69" s="5">
        <f>+'Project Ostelliere'!R43</f>
        <v>6</v>
      </c>
      <c r="S69" s="6">
        <f>+'Project Ostelliere'!S43</f>
        <v>450</v>
      </c>
      <c r="T69" s="6">
        <f>+'Project Ostelliere'!T43</f>
        <v>13.592882666666668</v>
      </c>
      <c r="U69" s="6">
        <f>+'Project Ostelliere'!U43</f>
        <v>12.233594400000001</v>
      </c>
      <c r="V69" s="81">
        <f t="shared" si="56"/>
        <v>3.8079532454339997</v>
      </c>
      <c r="W69" s="82">
        <f t="shared" si="56"/>
        <v>8.3053872381600002E-2</v>
      </c>
      <c r="X69" s="82">
        <f t="shared" si="56"/>
        <v>70.875000000000014</v>
      </c>
      <c r="Y69" s="82">
        <f t="shared" si="56"/>
        <v>26.496138996138995</v>
      </c>
      <c r="Z69" s="82">
        <f t="shared" si="56"/>
        <v>1.1950485117857144</v>
      </c>
      <c r="AA69" s="82">
        <f t="shared" si="56"/>
        <v>1.5757045309769298</v>
      </c>
      <c r="AB69" s="82">
        <f t="shared" si="56"/>
        <v>144</v>
      </c>
      <c r="AC69" s="83">
        <f t="shared" si="46"/>
        <v>248.03289915671726</v>
      </c>
      <c r="AD69" s="93">
        <f t="shared" si="47"/>
        <v>41.338816526119544</v>
      </c>
      <c r="AE69" s="93">
        <f t="shared" si="48"/>
        <v>200</v>
      </c>
      <c r="AF69" s="90">
        <f t="shared" si="49"/>
        <v>158.66118347388044</v>
      </c>
      <c r="AG69" s="91">
        <f t="shared" si="50"/>
        <v>3.8380678695441572</v>
      </c>
      <c r="AH69" s="92">
        <f t="shared" si="51"/>
        <v>1200</v>
      </c>
    </row>
    <row r="70" spans="1:34" x14ac:dyDescent="0.3">
      <c r="A70" s="223"/>
      <c r="B70" s="4" t="str">
        <f t="shared" ref="B70:AB70" si="57">+B41</f>
        <v>OSTELLIERE</v>
      </c>
      <c r="C70" s="4" t="str">
        <f t="shared" si="57"/>
        <v>Vaso Logo</v>
      </c>
      <c r="D70" s="5">
        <f t="shared" si="57"/>
        <v>5</v>
      </c>
      <c r="E70" s="5">
        <f t="shared" si="57"/>
        <v>10</v>
      </c>
      <c r="F70" s="5">
        <f t="shared" si="57"/>
        <v>0.39</v>
      </c>
      <c r="G70" s="5">
        <f t="shared" si="57"/>
        <v>39</v>
      </c>
      <c r="H70" s="4">
        <f t="shared" si="57"/>
        <v>1.1639584900000001E-3</v>
      </c>
      <c r="I70" s="6">
        <f t="shared" si="57"/>
        <v>3.2332180277777778</v>
      </c>
      <c r="J70" s="6">
        <f t="shared" si="57"/>
        <v>2.9098962250000002</v>
      </c>
      <c r="R70" s="5">
        <f>+'Project Ostelliere'!R44</f>
        <v>3</v>
      </c>
      <c r="S70" s="6">
        <f>+'Project Ostelliere'!S44</f>
        <v>117</v>
      </c>
      <c r="T70" s="6">
        <f>+'Project Ostelliere'!T44</f>
        <v>9.6996540833333338</v>
      </c>
      <c r="U70" s="6">
        <f>+'Project Ostelliere'!U44</f>
        <v>8.7296886750000002</v>
      </c>
      <c r="V70" s="81">
        <f t="shared" si="57"/>
        <v>0.99006784381283996</v>
      </c>
      <c r="W70" s="82">
        <f t="shared" si="57"/>
        <v>5.9265856414574998E-2</v>
      </c>
      <c r="X70" s="82">
        <f t="shared" si="57"/>
        <v>18.427500000000002</v>
      </c>
      <c r="Y70" s="82">
        <f t="shared" si="57"/>
        <v>6.8889961389961387</v>
      </c>
      <c r="Z70" s="82">
        <f t="shared" si="57"/>
        <v>0.31071261306428571</v>
      </c>
      <c r="AA70" s="82">
        <f t="shared" si="57"/>
        <v>1.1243964406091058</v>
      </c>
      <c r="AB70" s="82">
        <f t="shared" si="57"/>
        <v>0</v>
      </c>
      <c r="AC70" s="83">
        <f t="shared" si="46"/>
        <v>27.800938892896948</v>
      </c>
      <c r="AD70" s="93">
        <f t="shared" si="47"/>
        <v>9.2669796309656487</v>
      </c>
      <c r="AE70" s="93">
        <f t="shared" si="48"/>
        <v>310</v>
      </c>
      <c r="AF70" s="90">
        <f t="shared" si="49"/>
        <v>300.73302036903436</v>
      </c>
      <c r="AG70" s="91">
        <f t="shared" si="50"/>
        <v>32.452107627833108</v>
      </c>
      <c r="AH70" s="92">
        <f t="shared" si="51"/>
        <v>930</v>
      </c>
    </row>
    <row r="71" spans="1:34" x14ac:dyDescent="0.3">
      <c r="A71" s="223"/>
      <c r="B71" s="4" t="str">
        <f t="shared" ref="B71:AB71" si="58">+B42</f>
        <v>OSTELLIERE</v>
      </c>
      <c r="C71" s="4" t="str">
        <f t="shared" si="58"/>
        <v>Copri candela</v>
      </c>
      <c r="D71" s="5">
        <f t="shared" si="58"/>
        <v>4</v>
      </c>
      <c r="E71" s="5">
        <f t="shared" si="58"/>
        <v>5</v>
      </c>
      <c r="F71" s="5">
        <f t="shared" si="58"/>
        <v>0.34</v>
      </c>
      <c r="G71" s="5">
        <f t="shared" si="58"/>
        <v>34</v>
      </c>
      <c r="H71" s="4">
        <f t="shared" si="58"/>
        <v>2.3780405299999999E-4</v>
      </c>
      <c r="I71" s="6">
        <f t="shared" si="58"/>
        <v>0.66056681388888883</v>
      </c>
      <c r="J71" s="6">
        <f t="shared" si="58"/>
        <v>0.59451013249999995</v>
      </c>
      <c r="R71" s="5">
        <f>+'Project Ostelliere'!R45</f>
        <v>15</v>
      </c>
      <c r="S71" s="6">
        <f>+'Project Ostelliere'!S45</f>
        <v>510</v>
      </c>
      <c r="T71" s="6">
        <f>+'Project Ostelliere'!T45</f>
        <v>9.9085022083333332</v>
      </c>
      <c r="U71" s="6">
        <f>+'Project Ostelliere'!U45</f>
        <v>8.9176519874999993</v>
      </c>
      <c r="V71" s="81">
        <f t="shared" si="58"/>
        <v>4.3156803448251999</v>
      </c>
      <c r="W71" s="82">
        <f t="shared" si="58"/>
        <v>6.0541939343137494E-2</v>
      </c>
      <c r="X71" s="82">
        <f t="shared" si="58"/>
        <v>80.325000000000017</v>
      </c>
      <c r="Y71" s="82">
        <f t="shared" si="58"/>
        <v>30.02895752895753</v>
      </c>
      <c r="Z71" s="82">
        <f t="shared" si="58"/>
        <v>1.3543883133571428</v>
      </c>
      <c r="AA71" s="82">
        <f t="shared" si="58"/>
        <v>1.1486063852484083</v>
      </c>
      <c r="AB71" s="82">
        <f t="shared" si="58"/>
        <v>0</v>
      </c>
      <c r="AC71" s="83">
        <f t="shared" si="46"/>
        <v>117.23317451173145</v>
      </c>
      <c r="AD71" s="93">
        <f t="shared" si="47"/>
        <v>7.8155449674487629</v>
      </c>
      <c r="AE71" s="93">
        <f t="shared" si="48"/>
        <v>20</v>
      </c>
      <c r="AF71" s="90">
        <f t="shared" si="49"/>
        <v>12.184455032551238</v>
      </c>
      <c r="AG71" s="91">
        <f t="shared" si="50"/>
        <v>1.5590026138034778</v>
      </c>
      <c r="AH71" s="92">
        <f t="shared" si="51"/>
        <v>300</v>
      </c>
    </row>
    <row r="72" spans="1:34" x14ac:dyDescent="0.3">
      <c r="A72" s="223"/>
      <c r="B72" s="4" t="str">
        <f t="shared" ref="B72:AB72" si="59">+B43</f>
        <v>OSTELLIERE</v>
      </c>
      <c r="C72" s="4" t="str">
        <f t="shared" si="59"/>
        <v xml:space="preserve">Vaso Grosso </v>
      </c>
      <c r="D72" s="5">
        <f t="shared" si="59"/>
        <v>4</v>
      </c>
      <c r="E72" s="5">
        <f t="shared" si="59"/>
        <v>5</v>
      </c>
      <c r="F72" s="5">
        <f t="shared" si="59"/>
        <v>1.31</v>
      </c>
      <c r="G72" s="5">
        <f t="shared" si="59"/>
        <v>91</v>
      </c>
      <c r="H72" s="4">
        <f t="shared" si="59"/>
        <v>9.52764444E-4</v>
      </c>
      <c r="I72" s="6">
        <f t="shared" si="59"/>
        <v>2.6465679</v>
      </c>
      <c r="J72" s="6">
        <f t="shared" si="59"/>
        <v>2.3819111099999999</v>
      </c>
      <c r="R72" s="5">
        <f>+'Project Ostelliere'!R46</f>
        <v>2</v>
      </c>
      <c r="S72" s="6">
        <f>+'Project Ostelliere'!S46</f>
        <v>182</v>
      </c>
      <c r="T72" s="6">
        <f>+'Project Ostelliere'!T46</f>
        <v>5.2931357999999999</v>
      </c>
      <c r="U72" s="6">
        <f>+'Project Ostelliere'!U46</f>
        <v>4.7638222199999998</v>
      </c>
      <c r="V72" s="81">
        <f t="shared" si="59"/>
        <v>1.5401055348199733</v>
      </c>
      <c r="W72" s="82">
        <f t="shared" si="59"/>
        <v>3.2341589051580001E-2</v>
      </c>
      <c r="X72" s="82">
        <f t="shared" si="59"/>
        <v>28.665000000000006</v>
      </c>
      <c r="Y72" s="82">
        <f t="shared" si="59"/>
        <v>10.716216216216216</v>
      </c>
      <c r="Z72" s="82">
        <f t="shared" si="59"/>
        <v>0.48333073143333333</v>
      </c>
      <c r="AA72" s="82">
        <f t="shared" si="59"/>
        <v>0.61358714465983732</v>
      </c>
      <c r="AB72" s="82">
        <f t="shared" si="59"/>
        <v>0</v>
      </c>
      <c r="AC72" s="83">
        <f t="shared" si="46"/>
        <v>42.050581216180944</v>
      </c>
      <c r="AD72" s="93">
        <f t="shared" si="47"/>
        <v>21.025290608090472</v>
      </c>
      <c r="AE72" s="93">
        <f t="shared" si="48"/>
        <v>200</v>
      </c>
      <c r="AF72" s="90">
        <f t="shared" si="49"/>
        <v>178.97470939190953</v>
      </c>
      <c r="AG72" s="91">
        <f t="shared" si="50"/>
        <v>8.5123536567452049</v>
      </c>
      <c r="AH72" s="92">
        <f t="shared" si="51"/>
        <v>400</v>
      </c>
    </row>
    <row r="73" spans="1:34" x14ac:dyDescent="0.3">
      <c r="A73" s="223"/>
      <c r="B73" s="4" t="str">
        <f t="shared" ref="B73:AB73" si="60">+B44</f>
        <v>ORTO</v>
      </c>
      <c r="C73" s="4" t="str">
        <f t="shared" si="60"/>
        <v>Bicchiere curve dritto</v>
      </c>
      <c r="D73" s="5">
        <f t="shared" si="60"/>
        <v>2</v>
      </c>
      <c r="E73" s="5">
        <f t="shared" si="60"/>
        <v>2</v>
      </c>
      <c r="F73" s="5">
        <f t="shared" si="60"/>
        <v>0.26</v>
      </c>
      <c r="G73" s="5">
        <f t="shared" si="60"/>
        <v>26</v>
      </c>
      <c r="H73" s="4">
        <f t="shared" si="60"/>
        <v>1.6928511099999999E-4</v>
      </c>
      <c r="I73" s="6">
        <f t="shared" si="60"/>
        <v>0.47023641944444439</v>
      </c>
      <c r="J73" s="6">
        <f t="shared" si="60"/>
        <v>0.42321277749999997</v>
      </c>
      <c r="R73" s="5">
        <f>+'Project Orto'!R39</f>
        <v>12</v>
      </c>
      <c r="S73" s="6">
        <f>+'Project Orto'!S39</f>
        <v>312</v>
      </c>
      <c r="T73" s="6">
        <f>+'Project Orto'!T39</f>
        <v>5.6428370333333326</v>
      </c>
      <c r="U73" s="6">
        <f>+'Project Orto'!U39</f>
        <v>5.0785533300000001</v>
      </c>
      <c r="V73" s="81">
        <f t="shared" si="60"/>
        <v>2.6401809168342401</v>
      </c>
      <c r="W73" s="82">
        <f t="shared" si="60"/>
        <v>3.4478298557370002E-2</v>
      </c>
      <c r="X73" s="82">
        <f t="shared" si="60"/>
        <v>49.140000000000008</v>
      </c>
      <c r="Y73" s="82">
        <f t="shared" si="60"/>
        <v>18.37065637065637</v>
      </c>
      <c r="Z73" s="82">
        <f t="shared" si="60"/>
        <v>0.82856696817142861</v>
      </c>
      <c r="AA73" s="82">
        <f t="shared" si="60"/>
        <v>0.65412496370559525</v>
      </c>
      <c r="AB73" s="82">
        <f t="shared" si="60"/>
        <v>0</v>
      </c>
      <c r="AC73" s="83">
        <f t="shared" si="46"/>
        <v>71.668007517925005</v>
      </c>
      <c r="AD73" s="93">
        <f t="shared" si="47"/>
        <v>5.9723339598270835</v>
      </c>
      <c r="AE73" s="93">
        <f t="shared" si="48"/>
        <v>15</v>
      </c>
      <c r="AF73" s="90">
        <f t="shared" si="49"/>
        <v>9.0276660401729174</v>
      </c>
      <c r="AG73" s="91">
        <f t="shared" si="50"/>
        <v>1.5115809164218765</v>
      </c>
      <c r="AH73" s="92">
        <f t="shared" si="51"/>
        <v>180</v>
      </c>
    </row>
    <row r="74" spans="1:34" x14ac:dyDescent="0.3">
      <c r="A74" s="223"/>
      <c r="B74" s="4" t="str">
        <f t="shared" ref="B74:AB74" si="61">+B45</f>
        <v>ORTO</v>
      </c>
      <c r="C74" s="4" t="str">
        <f t="shared" si="61"/>
        <v>Bicchiere curve twist</v>
      </c>
      <c r="D74" s="5">
        <f t="shared" si="61"/>
        <v>2</v>
      </c>
      <c r="E74" s="5">
        <f t="shared" si="61"/>
        <v>2</v>
      </c>
      <c r="F74" s="5">
        <f t="shared" si="61"/>
        <v>0.25</v>
      </c>
      <c r="G74" s="5">
        <f t="shared" si="61"/>
        <v>25</v>
      </c>
      <c r="H74" s="4">
        <f t="shared" si="61"/>
        <v>1.69285896E-4</v>
      </c>
      <c r="I74" s="6">
        <f t="shared" si="61"/>
        <v>0.47023859999999995</v>
      </c>
      <c r="J74" s="6">
        <f t="shared" si="61"/>
        <v>0.42321473999999998</v>
      </c>
      <c r="R74" s="5">
        <f>+'Project Orto'!R40</f>
        <v>12</v>
      </c>
      <c r="S74" s="6">
        <f>+'Project Orto'!S40</f>
        <v>300</v>
      </c>
      <c r="T74" s="6">
        <f>+'Project Orto'!T40</f>
        <v>5.642863199999999</v>
      </c>
      <c r="U74" s="6">
        <f>+'Project Orto'!U40</f>
        <v>5.07857688</v>
      </c>
      <c r="V74" s="81">
        <f t="shared" si="61"/>
        <v>2.5386354969559997</v>
      </c>
      <c r="W74" s="82">
        <f t="shared" si="61"/>
        <v>3.4478458438320002E-2</v>
      </c>
      <c r="X74" s="82">
        <f t="shared" si="61"/>
        <v>47.250000000000007</v>
      </c>
      <c r="Y74" s="82">
        <f t="shared" si="61"/>
        <v>17.664092664092664</v>
      </c>
      <c r="Z74" s="82">
        <f t="shared" si="61"/>
        <v>0.79669900785714287</v>
      </c>
      <c r="AA74" s="82">
        <f t="shared" si="61"/>
        <v>0.65412799697942225</v>
      </c>
      <c r="AB74" s="82">
        <f t="shared" si="61"/>
        <v>0</v>
      </c>
      <c r="AC74" s="83">
        <f t="shared" si="46"/>
        <v>68.938033624323552</v>
      </c>
      <c r="AD74" s="93">
        <f t="shared" si="47"/>
        <v>5.7448361353602957</v>
      </c>
      <c r="AE74" s="93">
        <f t="shared" si="48"/>
        <v>15</v>
      </c>
      <c r="AF74" s="90">
        <f t="shared" si="49"/>
        <v>9.2551638646397052</v>
      </c>
      <c r="AG74" s="91">
        <f t="shared" si="50"/>
        <v>1.6110405321524901</v>
      </c>
      <c r="AH74" s="92">
        <f t="shared" si="51"/>
        <v>180</v>
      </c>
    </row>
    <row r="75" spans="1:34" x14ac:dyDescent="0.3">
      <c r="A75" s="223"/>
      <c r="B75" s="4" t="str">
        <f t="shared" ref="B75:AB75" si="62">+B46</f>
        <v>ORTO</v>
      </c>
      <c r="C75" s="4" t="str">
        <f t="shared" si="62"/>
        <v>Caraffa curva</v>
      </c>
      <c r="D75" s="5">
        <f t="shared" si="62"/>
        <v>2</v>
      </c>
      <c r="E75" s="5">
        <f t="shared" si="62"/>
        <v>2</v>
      </c>
      <c r="F75" s="5">
        <f t="shared" si="62"/>
        <v>0.56999999999999995</v>
      </c>
      <c r="G75" s="5">
        <f t="shared" si="62"/>
        <v>57</v>
      </c>
      <c r="H75" s="4">
        <f t="shared" si="62"/>
        <v>3.69342133E-4</v>
      </c>
      <c r="I75" s="6">
        <f t="shared" si="62"/>
        <v>1.0259503694444445</v>
      </c>
      <c r="J75" s="6">
        <f t="shared" si="62"/>
        <v>0.92335533250000001</v>
      </c>
      <c r="R75" s="5">
        <f>+'Project Orto'!R41</f>
        <v>2</v>
      </c>
      <c r="S75" s="6">
        <f>+'Project Orto'!S41</f>
        <v>114</v>
      </c>
      <c r="T75" s="6">
        <f>+'Project Orto'!T41</f>
        <v>2.051900738888889</v>
      </c>
      <c r="U75" s="6">
        <f>+'Project Orto'!U41</f>
        <v>1.846710665</v>
      </c>
      <c r="V75" s="81">
        <f t="shared" si="62"/>
        <v>0.96468148884327987</v>
      </c>
      <c r="W75" s="82">
        <f t="shared" si="62"/>
        <v>1.2537318704685E-2</v>
      </c>
      <c r="X75" s="82">
        <f t="shared" si="62"/>
        <v>17.955000000000002</v>
      </c>
      <c r="Y75" s="82">
        <f t="shared" si="62"/>
        <v>6.7123552123552122</v>
      </c>
      <c r="Z75" s="82">
        <f t="shared" si="62"/>
        <v>0.30274562298571428</v>
      </c>
      <c r="AA75" s="82">
        <f t="shared" si="62"/>
        <v>0.23785898625541477</v>
      </c>
      <c r="AB75" s="82">
        <f t="shared" si="62"/>
        <v>0</v>
      </c>
      <c r="AC75" s="83">
        <f t="shared" si="46"/>
        <v>26.185178629144307</v>
      </c>
      <c r="AD75" s="93">
        <f t="shared" si="47"/>
        <v>13.092589314572153</v>
      </c>
      <c r="AE75" s="93">
        <f t="shared" si="48"/>
        <v>30</v>
      </c>
      <c r="AF75" s="90">
        <f t="shared" si="49"/>
        <v>16.907410685427848</v>
      </c>
      <c r="AG75" s="91">
        <f t="shared" si="50"/>
        <v>1.2913725680381474</v>
      </c>
      <c r="AH75" s="92">
        <f t="shared" si="51"/>
        <v>60</v>
      </c>
    </row>
    <row r="76" spans="1:34" x14ac:dyDescent="0.3">
      <c r="A76" s="223"/>
      <c r="B76" s="4" t="str">
        <f t="shared" ref="B76:AB76" si="63">+B47</f>
        <v>ORTO</v>
      </c>
      <c r="C76" s="4" t="str">
        <f t="shared" si="63"/>
        <v>Caraffa colonna dritta</v>
      </c>
      <c r="D76" s="5">
        <f t="shared" si="63"/>
        <v>2</v>
      </c>
      <c r="E76" s="5">
        <f t="shared" si="63"/>
        <v>1</v>
      </c>
      <c r="F76" s="5">
        <f t="shared" si="63"/>
        <v>1.4</v>
      </c>
      <c r="G76" s="5">
        <f t="shared" si="63"/>
        <v>100</v>
      </c>
      <c r="H76" s="4">
        <f t="shared" si="63"/>
        <v>3.2796365999999998E-4</v>
      </c>
      <c r="I76" s="6">
        <f t="shared" si="63"/>
        <v>0.91101016666666657</v>
      </c>
      <c r="J76" s="6">
        <f t="shared" si="63"/>
        <v>0.81990914999999998</v>
      </c>
      <c r="R76" s="5">
        <f>+'Project Orto'!R42</f>
        <v>2</v>
      </c>
      <c r="S76" s="6">
        <f>+'Project Orto'!S42</f>
        <v>200</v>
      </c>
      <c r="T76" s="6">
        <f>+'Project Orto'!T42</f>
        <v>1.8220203333333331</v>
      </c>
      <c r="U76" s="6">
        <f>+'Project Orto'!U42</f>
        <v>1.6398183</v>
      </c>
      <c r="V76" s="81">
        <f t="shared" si="63"/>
        <v>1.6924236646373332</v>
      </c>
      <c r="W76" s="82">
        <f t="shared" si="63"/>
        <v>1.1132726438699999E-2</v>
      </c>
      <c r="X76" s="82">
        <f t="shared" si="63"/>
        <v>31.500000000000007</v>
      </c>
      <c r="Y76" s="82">
        <f t="shared" si="63"/>
        <v>11.776061776061777</v>
      </c>
      <c r="Z76" s="82">
        <f t="shared" si="63"/>
        <v>0.53113267190476188</v>
      </c>
      <c r="AA76" s="82">
        <f t="shared" si="63"/>
        <v>0.21121095246454188</v>
      </c>
      <c r="AB76" s="82">
        <f t="shared" si="63"/>
        <v>0</v>
      </c>
      <c r="AC76" s="83">
        <f t="shared" si="46"/>
        <v>45.72196179150712</v>
      </c>
      <c r="AD76" s="93">
        <f t="shared" si="47"/>
        <v>22.86098089575356</v>
      </c>
      <c r="AE76" s="93">
        <f t="shared" si="48"/>
        <v>30</v>
      </c>
      <c r="AF76" s="90">
        <f t="shared" si="49"/>
        <v>7.1390191042464402</v>
      </c>
      <c r="AG76" s="91">
        <f t="shared" si="50"/>
        <v>0.31227964962660537</v>
      </c>
      <c r="AH76" s="92">
        <f t="shared" si="51"/>
        <v>60</v>
      </c>
    </row>
    <row r="77" spans="1:34" x14ac:dyDescent="0.3">
      <c r="A77" s="223"/>
      <c r="B77" s="4" t="str">
        <f t="shared" ref="B77:AB77" si="64">+B48</f>
        <v>ORTO</v>
      </c>
      <c r="C77" s="4" t="str">
        <f t="shared" si="64"/>
        <v>Caraffa colonna twist1</v>
      </c>
      <c r="D77" s="5">
        <f t="shared" si="64"/>
        <v>2</v>
      </c>
      <c r="E77" s="5">
        <f t="shared" si="64"/>
        <v>1</v>
      </c>
      <c r="F77" s="5">
        <f t="shared" si="64"/>
        <v>1.41</v>
      </c>
      <c r="G77" s="5">
        <f t="shared" si="64"/>
        <v>101</v>
      </c>
      <c r="H77" s="4">
        <f t="shared" si="64"/>
        <v>3.323221E-4</v>
      </c>
      <c r="I77" s="6">
        <f t="shared" si="64"/>
        <v>0.92311694444444448</v>
      </c>
      <c r="J77" s="6">
        <f t="shared" si="64"/>
        <v>0.83080525000000005</v>
      </c>
      <c r="R77" s="5">
        <f>+'Project Orto'!R43</f>
        <v>2</v>
      </c>
      <c r="S77" s="6">
        <f>+'Project Orto'!S43</f>
        <v>202</v>
      </c>
      <c r="T77" s="6">
        <f>+'Project Orto'!T43</f>
        <v>1.846233888888889</v>
      </c>
      <c r="U77" s="6">
        <f>+'Project Orto'!U43</f>
        <v>1.6616105000000001</v>
      </c>
      <c r="V77" s="81">
        <f t="shared" si="64"/>
        <v>1.7093479012837065</v>
      </c>
      <c r="W77" s="82">
        <f t="shared" si="64"/>
        <v>1.12806736845E-2</v>
      </c>
      <c r="X77" s="82">
        <f t="shared" si="64"/>
        <v>31.815000000000005</v>
      </c>
      <c r="Y77" s="82">
        <f t="shared" si="64"/>
        <v>11.893822393822393</v>
      </c>
      <c r="Z77" s="82">
        <f t="shared" si="64"/>
        <v>0.53644399862380954</v>
      </c>
      <c r="AA77" s="82">
        <f t="shared" si="64"/>
        <v>0.21401781912671894</v>
      </c>
      <c r="AB77" s="82">
        <f t="shared" si="64"/>
        <v>0</v>
      </c>
      <c r="AC77" s="83">
        <f t="shared" si="46"/>
        <v>46.179912786541131</v>
      </c>
      <c r="AD77" s="93">
        <f t="shared" si="47"/>
        <v>23.089956393270565</v>
      </c>
      <c r="AE77" s="93">
        <f t="shared" si="48"/>
        <v>30</v>
      </c>
      <c r="AF77" s="90">
        <f t="shared" si="49"/>
        <v>6.9100436067294346</v>
      </c>
      <c r="AG77" s="91">
        <f t="shared" si="50"/>
        <v>0.29926620427673595</v>
      </c>
      <c r="AH77" s="92">
        <f t="shared" si="51"/>
        <v>60</v>
      </c>
    </row>
    <row r="78" spans="1:34" x14ac:dyDescent="0.3">
      <c r="A78" s="223"/>
      <c r="B78" s="4" t="str">
        <f t="shared" ref="B78:AB78" si="65">+B49</f>
        <v>ORTO</v>
      </c>
      <c r="C78" s="4" t="str">
        <f t="shared" si="65"/>
        <v>Caraffa colonna twist2</v>
      </c>
      <c r="D78" s="5">
        <f t="shared" si="65"/>
        <v>2</v>
      </c>
      <c r="E78" s="5">
        <f t="shared" si="65"/>
        <v>1</v>
      </c>
      <c r="F78" s="5">
        <f t="shared" si="65"/>
        <v>1.45</v>
      </c>
      <c r="G78" s="5">
        <f t="shared" si="65"/>
        <v>105</v>
      </c>
      <c r="H78" s="4">
        <f t="shared" si="65"/>
        <v>3.4271101000000001E-4</v>
      </c>
      <c r="I78" s="6">
        <f t="shared" si="65"/>
        <v>0.95197502777777776</v>
      </c>
      <c r="J78" s="6">
        <f t="shared" si="65"/>
        <v>0.85677752500000004</v>
      </c>
      <c r="R78" s="5">
        <f>+'Project Orto'!R44</f>
        <v>2</v>
      </c>
      <c r="S78" s="6">
        <f>+'Project Orto'!S44</f>
        <v>210</v>
      </c>
      <c r="T78" s="6">
        <f>+'Project Orto'!T44</f>
        <v>1.9039500555555555</v>
      </c>
      <c r="U78" s="6">
        <f>+'Project Orto'!U44</f>
        <v>1.7135550500000001</v>
      </c>
      <c r="V78" s="81">
        <f t="shared" si="65"/>
        <v>1.7770448478691998</v>
      </c>
      <c r="W78" s="82">
        <f t="shared" si="65"/>
        <v>1.1633325234450001E-2</v>
      </c>
      <c r="X78" s="82">
        <f t="shared" si="65"/>
        <v>33.075000000000003</v>
      </c>
      <c r="Y78" s="82">
        <f t="shared" si="65"/>
        <v>12.364864864864865</v>
      </c>
      <c r="Z78" s="82">
        <f t="shared" si="65"/>
        <v>0.55768930550000007</v>
      </c>
      <c r="AA78" s="82">
        <f t="shared" si="65"/>
        <v>0.22070835177953907</v>
      </c>
      <c r="AB78" s="82">
        <f t="shared" si="65"/>
        <v>0</v>
      </c>
      <c r="AC78" s="83">
        <f t="shared" si="46"/>
        <v>48.006940695248055</v>
      </c>
      <c r="AD78" s="93">
        <f t="shared" si="47"/>
        <v>24.003470347624027</v>
      </c>
      <c r="AE78" s="93">
        <f t="shared" si="48"/>
        <v>30</v>
      </c>
      <c r="AF78" s="90">
        <f t="shared" si="49"/>
        <v>5.9965296523759726</v>
      </c>
      <c r="AG78" s="91">
        <f t="shared" si="50"/>
        <v>0.24981927885979771</v>
      </c>
      <c r="AH78" s="92">
        <f t="shared" si="51"/>
        <v>60</v>
      </c>
    </row>
    <row r="79" spans="1:34" x14ac:dyDescent="0.3">
      <c r="A79" s="223"/>
      <c r="B79" s="4" t="str">
        <f t="shared" ref="B79:AB79" si="66">+B50</f>
        <v>ORTO</v>
      </c>
      <c r="C79" s="4" t="str">
        <f t="shared" si="66"/>
        <v>Caraffa colonna twist3</v>
      </c>
      <c r="D79" s="5">
        <f t="shared" si="66"/>
        <v>2</v>
      </c>
      <c r="E79" s="5">
        <f t="shared" si="66"/>
        <v>1</v>
      </c>
      <c r="F79" s="5">
        <f t="shared" si="66"/>
        <v>1.42</v>
      </c>
      <c r="G79" s="5">
        <f t="shared" si="66"/>
        <v>102</v>
      </c>
      <c r="H79" s="4">
        <f t="shared" si="66"/>
        <v>3.3727121999999998E-4</v>
      </c>
      <c r="I79" s="6">
        <f t="shared" si="66"/>
        <v>0.93686449999999988</v>
      </c>
      <c r="J79" s="6">
        <f t="shared" si="66"/>
        <v>0.8431780499999999</v>
      </c>
      <c r="R79" s="5">
        <f>+'Project Orto'!R45</f>
        <v>2</v>
      </c>
      <c r="S79" s="6">
        <f>+'Project Orto'!S45</f>
        <v>204</v>
      </c>
      <c r="T79" s="6">
        <f>+'Project Orto'!T45</f>
        <v>1.8737289999999998</v>
      </c>
      <c r="U79" s="6">
        <f>+'Project Orto'!U45</f>
        <v>1.6863560999999998</v>
      </c>
      <c r="V79" s="81">
        <f t="shared" si="66"/>
        <v>1.7262721379300801</v>
      </c>
      <c r="W79" s="82">
        <f t="shared" si="66"/>
        <v>1.1448671562899998E-2</v>
      </c>
      <c r="X79" s="82">
        <f t="shared" si="66"/>
        <v>32.130000000000003</v>
      </c>
      <c r="Y79" s="82">
        <f t="shared" si="66"/>
        <v>12.011583011583012</v>
      </c>
      <c r="Z79" s="82">
        <f t="shared" si="66"/>
        <v>0.5417553253428572</v>
      </c>
      <c r="AA79" s="82">
        <f t="shared" si="66"/>
        <v>0.21720508795114082</v>
      </c>
      <c r="AB79" s="82">
        <f t="shared" si="66"/>
        <v>0</v>
      </c>
      <c r="AC79" s="83">
        <f t="shared" si="46"/>
        <v>46.638264234369991</v>
      </c>
      <c r="AD79" s="93">
        <f t="shared" si="47"/>
        <v>23.319132117184996</v>
      </c>
      <c r="AE79" s="93">
        <f t="shared" si="48"/>
        <v>30</v>
      </c>
      <c r="AF79" s="90">
        <f t="shared" si="49"/>
        <v>6.6808678828150043</v>
      </c>
      <c r="AG79" s="91">
        <f t="shared" si="50"/>
        <v>0.28649727825383131</v>
      </c>
      <c r="AH79" s="92">
        <f t="shared" si="51"/>
        <v>60</v>
      </c>
    </row>
    <row r="80" spans="1:34" x14ac:dyDescent="0.3">
      <c r="A80" s="223"/>
      <c r="B80" s="4" t="str">
        <f t="shared" ref="B80:AB80" si="67">+B51</f>
        <v>ORTO</v>
      </c>
      <c r="C80" s="4" t="str">
        <f t="shared" si="67"/>
        <v>Bicchiere colonna twist1</v>
      </c>
      <c r="D80" s="5">
        <f t="shared" si="67"/>
        <v>1</v>
      </c>
      <c r="E80" s="5">
        <f t="shared" si="67"/>
        <v>1</v>
      </c>
      <c r="F80" s="5">
        <f t="shared" si="67"/>
        <v>0.57999999999999996</v>
      </c>
      <c r="G80" s="5">
        <f t="shared" si="67"/>
        <v>58</v>
      </c>
      <c r="H80" s="4">
        <f t="shared" si="67"/>
        <v>9.7981700000000004E-5</v>
      </c>
      <c r="I80" s="6">
        <f t="shared" si="67"/>
        <v>0.27217138888888892</v>
      </c>
      <c r="J80" s="6">
        <f t="shared" si="67"/>
        <v>0.24495425000000001</v>
      </c>
      <c r="R80" s="5">
        <f>+'Project Orto'!R46</f>
        <v>12</v>
      </c>
      <c r="S80" s="6">
        <f>+'Project Orto'!S46</f>
        <v>696</v>
      </c>
      <c r="T80" s="6">
        <f>+'Project Orto'!T46</f>
        <v>3.2660566666666671</v>
      </c>
      <c r="U80" s="6">
        <f>+'Project Orto'!U46</f>
        <v>2.939451</v>
      </c>
      <c r="V80" s="81">
        <f t="shared" si="67"/>
        <v>5.8896343529379198</v>
      </c>
      <c r="W80" s="82">
        <f t="shared" si="67"/>
        <v>1.9955932839000001E-2</v>
      </c>
      <c r="X80" s="82">
        <f t="shared" si="67"/>
        <v>109.62000000000002</v>
      </c>
      <c r="Y80" s="82">
        <f t="shared" si="67"/>
        <v>40.980694980694977</v>
      </c>
      <c r="Z80" s="82">
        <f t="shared" si="67"/>
        <v>1.8483416982285714</v>
      </c>
      <c r="AA80" s="82">
        <f t="shared" si="67"/>
        <v>0.37860551100865886</v>
      </c>
      <c r="AB80" s="82">
        <f t="shared" si="67"/>
        <v>0</v>
      </c>
      <c r="AC80" s="83">
        <f t="shared" si="46"/>
        <v>158.73723247570913</v>
      </c>
      <c r="AD80" s="93">
        <f t="shared" si="47"/>
        <v>13.228102706309095</v>
      </c>
      <c r="AE80" s="93">
        <f t="shared" si="48"/>
        <v>15</v>
      </c>
      <c r="AF80" s="90">
        <f t="shared" si="49"/>
        <v>1.7718972936909054</v>
      </c>
      <c r="AG80" s="91">
        <f t="shared" si="50"/>
        <v>0.13394946599906618</v>
      </c>
      <c r="AH80" s="92">
        <f t="shared" si="51"/>
        <v>180</v>
      </c>
    </row>
    <row r="81" spans="1:35" x14ac:dyDescent="0.3">
      <c r="A81" s="223"/>
      <c r="B81" s="4" t="str">
        <f t="shared" ref="B81:AB81" si="68">+B52</f>
        <v>ORTO</v>
      </c>
      <c r="C81" s="4" t="str">
        <f t="shared" si="68"/>
        <v>Bicchiere colonna twist2</v>
      </c>
      <c r="D81" s="5">
        <f t="shared" si="68"/>
        <v>1</v>
      </c>
      <c r="E81" s="5">
        <f t="shared" si="68"/>
        <v>1</v>
      </c>
      <c r="F81" s="5">
        <f t="shared" si="68"/>
        <v>0.59</v>
      </c>
      <c r="G81" s="5">
        <f t="shared" si="68"/>
        <v>59</v>
      </c>
      <c r="H81" s="4">
        <f t="shared" si="68"/>
        <v>9.7982366999999995E-5</v>
      </c>
      <c r="I81" s="6">
        <f t="shared" si="68"/>
        <v>0.27217324166666662</v>
      </c>
      <c r="J81" s="6">
        <f t="shared" si="68"/>
        <v>0.24495591749999998</v>
      </c>
      <c r="R81" s="5">
        <f>+'Project Orto'!R47</f>
        <v>12</v>
      </c>
      <c r="S81" s="6">
        <f>+'Project Orto'!S47</f>
        <v>708</v>
      </c>
      <c r="T81" s="6">
        <f>+'Project Orto'!T47</f>
        <v>3.2660788999999992</v>
      </c>
      <c r="U81" s="6">
        <f>+'Project Orto'!U47</f>
        <v>2.9394710099999997</v>
      </c>
      <c r="V81" s="81">
        <f t="shared" si="68"/>
        <v>5.9911797728161593</v>
      </c>
      <c r="W81" s="82">
        <f t="shared" si="68"/>
        <v>1.9956068686889997E-2</v>
      </c>
      <c r="X81" s="82">
        <f t="shared" si="68"/>
        <v>111.51000000000002</v>
      </c>
      <c r="Y81" s="82">
        <f t="shared" si="68"/>
        <v>41.687258687258691</v>
      </c>
      <c r="Z81" s="82">
        <f t="shared" si="68"/>
        <v>1.8802096585428572</v>
      </c>
      <c r="AA81" s="82">
        <f t="shared" si="68"/>
        <v>0.37860808832540094</v>
      </c>
      <c r="AB81" s="82">
        <f t="shared" si="68"/>
        <v>0</v>
      </c>
      <c r="AC81" s="83">
        <f t="shared" si="46"/>
        <v>161.46721227563</v>
      </c>
      <c r="AD81" s="93">
        <f t="shared" si="47"/>
        <v>13.455601022969168</v>
      </c>
      <c r="AE81" s="93">
        <f t="shared" si="48"/>
        <v>15</v>
      </c>
      <c r="AF81" s="90">
        <f t="shared" si="49"/>
        <v>1.5443989770308324</v>
      </c>
      <c r="AG81" s="91">
        <f t="shared" si="50"/>
        <v>0.11477740566136667</v>
      </c>
      <c r="AH81" s="92">
        <f t="shared" si="51"/>
        <v>180</v>
      </c>
    </row>
    <row r="82" spans="1:35" x14ac:dyDescent="0.3">
      <c r="A82" s="223"/>
      <c r="B82" s="4" t="str">
        <f t="shared" ref="B82:AB82" si="69">+B53</f>
        <v>ORTO</v>
      </c>
      <c r="C82" s="4" t="str">
        <f t="shared" si="69"/>
        <v>Bicchiere colonna twist3</v>
      </c>
      <c r="D82" s="5">
        <f t="shared" si="69"/>
        <v>1</v>
      </c>
      <c r="E82" s="5">
        <f t="shared" si="69"/>
        <v>1</v>
      </c>
      <c r="F82" s="5">
        <f t="shared" si="69"/>
        <v>0.59</v>
      </c>
      <c r="G82" s="5">
        <f t="shared" si="69"/>
        <v>59</v>
      </c>
      <c r="H82" s="4">
        <f t="shared" si="69"/>
        <v>9.7984652999999995E-5</v>
      </c>
      <c r="I82" s="6">
        <f t="shared" si="69"/>
        <v>0.27217959166666666</v>
      </c>
      <c r="J82" s="6">
        <f t="shared" si="69"/>
        <v>0.2449616325</v>
      </c>
      <c r="R82" s="5">
        <f>+'Project Orto'!R48</f>
        <v>12</v>
      </c>
      <c r="S82" s="6">
        <f>+'Project Orto'!S48</f>
        <v>708</v>
      </c>
      <c r="T82" s="6">
        <f>+'Project Orto'!T48</f>
        <v>3.2661550999999998</v>
      </c>
      <c r="U82" s="6">
        <f>+'Project Orto'!U48</f>
        <v>2.9395395899999999</v>
      </c>
      <c r="V82" s="81">
        <f t="shared" si="69"/>
        <v>5.9911797728161593</v>
      </c>
      <c r="W82" s="82">
        <f t="shared" si="69"/>
        <v>1.995653427651E-2</v>
      </c>
      <c r="X82" s="82">
        <f t="shared" si="69"/>
        <v>111.51000000000002</v>
      </c>
      <c r="Y82" s="82">
        <f t="shared" si="69"/>
        <v>41.687258687258691</v>
      </c>
      <c r="Z82" s="82">
        <f t="shared" si="69"/>
        <v>1.8802096585428572</v>
      </c>
      <c r="AA82" s="82">
        <f t="shared" si="69"/>
        <v>0.37861692152790888</v>
      </c>
      <c r="AB82" s="82">
        <f t="shared" si="69"/>
        <v>0</v>
      </c>
      <c r="AC82" s="83">
        <f t="shared" si="46"/>
        <v>161.46722157442215</v>
      </c>
      <c r="AD82" s="93">
        <f t="shared" si="47"/>
        <v>13.455601797868512</v>
      </c>
      <c r="AE82" s="93">
        <f t="shared" si="48"/>
        <v>15</v>
      </c>
      <c r="AF82" s="90">
        <f t="shared" si="49"/>
        <v>1.5443982021314877</v>
      </c>
      <c r="AG82" s="91">
        <f t="shared" si="50"/>
        <v>0.11477734146206187</v>
      </c>
      <c r="AH82" s="92">
        <f t="shared" si="51"/>
        <v>180</v>
      </c>
    </row>
    <row r="83" spans="1:35" x14ac:dyDescent="0.3">
      <c r="A83" s="223"/>
      <c r="B83" s="4" t="str">
        <f t="shared" ref="B83:AB83" si="70">+B54</f>
        <v>ORTO</v>
      </c>
      <c r="C83" s="4" t="str">
        <f t="shared" si="70"/>
        <v>Bicchiere colonna twist alto</v>
      </c>
      <c r="D83" s="5">
        <f t="shared" si="70"/>
        <v>1</v>
      </c>
      <c r="E83" s="5">
        <f t="shared" si="70"/>
        <v>1</v>
      </c>
      <c r="F83" s="5">
        <f t="shared" si="70"/>
        <v>0.57999999999999996</v>
      </c>
      <c r="G83" s="5">
        <f t="shared" si="70"/>
        <v>58</v>
      </c>
      <c r="H83" s="4">
        <f t="shared" si="70"/>
        <v>9.4065272999999995E-5</v>
      </c>
      <c r="I83" s="6">
        <f t="shared" si="70"/>
        <v>0.26129242499999999</v>
      </c>
      <c r="J83" s="6">
        <f t="shared" si="70"/>
        <v>0.23516318249999998</v>
      </c>
      <c r="R83" s="5">
        <f>+'Project Orto'!R49</f>
        <v>12</v>
      </c>
      <c r="S83" s="6">
        <f>+'Project Orto'!S49</f>
        <v>696</v>
      </c>
      <c r="T83" s="6">
        <f>+'Project Orto'!T49</f>
        <v>3.1355091000000002</v>
      </c>
      <c r="U83" s="6">
        <f>+'Project Orto'!U49</f>
        <v>2.8219581899999997</v>
      </c>
      <c r="V83" s="81">
        <f t="shared" si="70"/>
        <v>5.8896343529379198</v>
      </c>
      <c r="W83" s="82">
        <f t="shared" si="70"/>
        <v>1.9158274151909998E-2</v>
      </c>
      <c r="X83" s="82">
        <f t="shared" si="70"/>
        <v>109.62000000000002</v>
      </c>
      <c r="Y83" s="82">
        <f t="shared" si="70"/>
        <v>40.980694980694977</v>
      </c>
      <c r="Z83" s="82">
        <f t="shared" si="70"/>
        <v>1.8483416982285714</v>
      </c>
      <c r="AA83" s="82">
        <f t="shared" si="70"/>
        <v>0.36347226831473628</v>
      </c>
      <c r="AB83" s="82">
        <f t="shared" si="70"/>
        <v>0</v>
      </c>
      <c r="AC83" s="83">
        <f t="shared" si="46"/>
        <v>158.72130157432812</v>
      </c>
      <c r="AD83" s="93">
        <f t="shared" si="47"/>
        <v>13.22677513119401</v>
      </c>
      <c r="AE83" s="93">
        <f t="shared" si="48"/>
        <v>15</v>
      </c>
      <c r="AF83" s="90">
        <f t="shared" si="49"/>
        <v>1.7732248688059897</v>
      </c>
      <c r="AG83" s="91">
        <f t="shared" si="50"/>
        <v>0.13406328082376015</v>
      </c>
      <c r="AH83" s="92">
        <f t="shared" si="51"/>
        <v>180</v>
      </c>
    </row>
    <row r="84" spans="1:35" x14ac:dyDescent="0.3">
      <c r="A84" s="223"/>
      <c r="B84" s="4" t="str">
        <f t="shared" ref="B84:AB84" si="71">+B55</f>
        <v>LA GALLINA</v>
      </c>
      <c r="C84" s="4" t="str">
        <f t="shared" si="71"/>
        <v>Oliera1</v>
      </c>
      <c r="D84" s="5">
        <f t="shared" si="71"/>
        <v>2</v>
      </c>
      <c r="E84" s="5">
        <f t="shared" si="71"/>
        <v>1</v>
      </c>
      <c r="F84" s="5">
        <f t="shared" si="71"/>
        <v>0.54</v>
      </c>
      <c r="G84" s="5">
        <f t="shared" si="71"/>
        <v>54</v>
      </c>
      <c r="H84" s="4">
        <f t="shared" si="71"/>
        <v>1.830542E-4</v>
      </c>
      <c r="I84" s="6">
        <f t="shared" si="71"/>
        <v>0.50848388888888885</v>
      </c>
      <c r="J84" s="6">
        <f t="shared" si="71"/>
        <v>0.45763549999999997</v>
      </c>
      <c r="R84" s="5">
        <f>+'Project La Gallina'!R21</f>
        <v>10</v>
      </c>
      <c r="S84" s="6">
        <f>+'Project La Gallina'!S21</f>
        <v>540</v>
      </c>
      <c r="T84" s="6">
        <f>+'Project La Gallina'!T21</f>
        <v>5.0848388888888882</v>
      </c>
      <c r="U84" s="6">
        <f>+'Project La Gallina'!U21</f>
        <v>4.5763549999999995</v>
      </c>
      <c r="V84" s="81">
        <f t="shared" si="71"/>
        <v>4.5695438945208</v>
      </c>
      <c r="W84" s="82">
        <f t="shared" si="71"/>
        <v>3.1068874094999997E-2</v>
      </c>
      <c r="X84" s="82">
        <f t="shared" si="71"/>
        <v>85.050000000000011</v>
      </c>
      <c r="Y84" s="82">
        <f t="shared" si="71"/>
        <v>31.795366795366796</v>
      </c>
      <c r="Z84" s="82">
        <f t="shared" si="71"/>
        <v>1.2857142857142856</v>
      </c>
      <c r="AA84" s="82">
        <f t="shared" si="71"/>
        <v>0.5894410974471187</v>
      </c>
      <c r="AB84" s="82">
        <f t="shared" si="71"/>
        <v>0</v>
      </c>
      <c r="AC84" s="83">
        <f t="shared" si="46"/>
        <v>123.32113494714402</v>
      </c>
      <c r="AD84" s="93">
        <f t="shared" si="47"/>
        <v>12.332113494714402</v>
      </c>
      <c r="AE84" s="93">
        <f t="shared" si="48"/>
        <v>20</v>
      </c>
      <c r="AF84" s="90">
        <f t="shared" si="49"/>
        <v>7.6678865052855976</v>
      </c>
      <c r="AG84" s="91">
        <f t="shared" si="50"/>
        <v>0.62178202532534976</v>
      </c>
      <c r="AH84" s="92">
        <f t="shared" si="51"/>
        <v>200</v>
      </c>
    </row>
    <row r="85" spans="1:35" ht="15" thickBot="1" x14ac:dyDescent="0.35">
      <c r="A85" s="224"/>
      <c r="B85" s="4" t="str">
        <f t="shared" ref="B85:AB85" si="72">+B56</f>
        <v>LA GALLINA</v>
      </c>
      <c r="C85" s="4" t="str">
        <f t="shared" si="72"/>
        <v>Piatto spirale</v>
      </c>
      <c r="D85" s="5">
        <f t="shared" si="72"/>
        <v>4</v>
      </c>
      <c r="E85" s="5">
        <f t="shared" si="72"/>
        <v>5</v>
      </c>
      <c r="F85" s="5">
        <f t="shared" si="72"/>
        <v>0.25</v>
      </c>
      <c r="G85" s="5">
        <f t="shared" si="72"/>
        <v>25</v>
      </c>
      <c r="H85" s="4">
        <f t="shared" si="72"/>
        <v>1.575448E-4</v>
      </c>
      <c r="I85" s="6">
        <f t="shared" si="72"/>
        <v>0.43762444444444443</v>
      </c>
      <c r="J85" s="6">
        <f t="shared" si="72"/>
        <v>0.39386199999999999</v>
      </c>
      <c r="R85" s="5">
        <f>+'Project La Gallina'!R22</f>
        <v>10</v>
      </c>
      <c r="S85" s="6">
        <f>+'Project La Gallina'!S22</f>
        <v>250</v>
      </c>
      <c r="T85" s="6">
        <f>+'Project La Gallina'!T22</f>
        <v>4.3762444444444446</v>
      </c>
      <c r="U85" s="6">
        <f>+'Project La Gallina'!U22</f>
        <v>3.9386199999999998</v>
      </c>
      <c r="V85" s="84">
        <f t="shared" si="72"/>
        <v>2.1155295807966668</v>
      </c>
      <c r="W85" s="85">
        <f t="shared" si="72"/>
        <v>2.6739291179999999E-2</v>
      </c>
      <c r="X85" s="85">
        <f t="shared" si="72"/>
        <v>39.375000000000007</v>
      </c>
      <c r="Y85" s="85">
        <f t="shared" si="72"/>
        <v>14.72007722007722</v>
      </c>
      <c r="Z85" s="85">
        <f t="shared" si="72"/>
        <v>0.59523809523809523</v>
      </c>
      <c r="AA85" s="85">
        <f t="shared" si="72"/>
        <v>0.50729991340863434</v>
      </c>
      <c r="AB85" s="85">
        <f t="shared" si="72"/>
        <v>0</v>
      </c>
      <c r="AC85" s="83">
        <f t="shared" si="46"/>
        <v>57.33988410070063</v>
      </c>
      <c r="AD85" s="93">
        <f t="shared" si="47"/>
        <v>5.7339884100700633</v>
      </c>
      <c r="AE85" s="93">
        <f t="shared" si="48"/>
        <v>15</v>
      </c>
      <c r="AF85" s="90">
        <f t="shared" si="49"/>
        <v>9.2660115899299367</v>
      </c>
      <c r="AG85" s="91">
        <f t="shared" si="50"/>
        <v>1.6159801742286248</v>
      </c>
      <c r="AH85" s="92">
        <f t="shared" si="51"/>
        <v>150</v>
      </c>
    </row>
    <row r="88" spans="1:35" ht="18.600000000000001" thickBot="1" x14ac:dyDescent="0.4">
      <c r="D88" s="237" t="s">
        <v>40</v>
      </c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10" t="s">
        <v>32</v>
      </c>
      <c r="S88" s="87">
        <f>+S90/60/7</f>
        <v>20.461904761904758</v>
      </c>
      <c r="T88" s="88" t="s">
        <v>83</v>
      </c>
    </row>
    <row r="89" spans="1:35" x14ac:dyDescent="0.3">
      <c r="D89" s="236" t="s">
        <v>33</v>
      </c>
      <c r="E89" s="236"/>
      <c r="F89" s="236"/>
      <c r="G89" s="236"/>
      <c r="H89" s="236"/>
      <c r="I89" s="236"/>
      <c r="J89" s="236"/>
      <c r="M89" s="236" t="s">
        <v>36</v>
      </c>
      <c r="N89" s="236"/>
      <c r="O89" s="236"/>
      <c r="P89" s="236"/>
      <c r="Q89" s="236"/>
      <c r="V89" s="238" t="s">
        <v>135</v>
      </c>
      <c r="W89" s="239"/>
      <c r="X89" s="239"/>
      <c r="Y89" s="239"/>
      <c r="Z89" s="239"/>
      <c r="AA89" s="239"/>
      <c r="AB89" s="239"/>
      <c r="AC89" s="240"/>
    </row>
    <row r="90" spans="1:35" ht="18" x14ac:dyDescent="0.35">
      <c r="B90" s="178" t="s">
        <v>462</v>
      </c>
      <c r="F90" s="225" t="s">
        <v>44</v>
      </c>
      <c r="G90" s="225"/>
      <c r="I90" s="20">
        <f>SUBTOTAL(9,I92:I114)</f>
        <v>59.570075669444442</v>
      </c>
      <c r="J90" s="20">
        <f>SUBTOTAL(9,J92:J114)</f>
        <v>53.613068102499987</v>
      </c>
      <c r="K90" s="1">
        <f>+'Finished goods'!$I$3</f>
        <v>2500</v>
      </c>
      <c r="L90" s="1">
        <f>+'Finished goods'!$J$3</f>
        <v>0.9</v>
      </c>
      <c r="M90" s="15">
        <f>+'Finished goods'!$K$3</f>
        <v>0.50772709939119998</v>
      </c>
      <c r="N90" s="15">
        <f>+'Finished goods'!$L$3</f>
        <v>6.7889999999999999E-3</v>
      </c>
      <c r="O90" s="13">
        <f>+'Finished goods'!$M$3</f>
        <v>0.15750000000000003</v>
      </c>
      <c r="P90" s="46">
        <f>+'Finished goods'!$N$3</f>
        <v>5.8880308880308881E-2</v>
      </c>
      <c r="Q90" s="1"/>
      <c r="S90" s="17">
        <f>SUBTOTAL(9,S92:S114)</f>
        <v>8594</v>
      </c>
      <c r="T90" s="17">
        <f>SUBTOTAL(9,T92:T114)</f>
        <v>162.95047083611109</v>
      </c>
      <c r="U90" s="75">
        <f>SUBTOTAL(9,U92:U114)</f>
        <v>146.65542375250001</v>
      </c>
      <c r="V90" s="77">
        <f t="shared" ref="V90:AC90" si="73">SUBTOTAL(9,V92:V114)</f>
        <v>72.723444869466206</v>
      </c>
      <c r="W90" s="17">
        <f t="shared" si="73"/>
        <v>0.99564367185572245</v>
      </c>
      <c r="X90" s="17">
        <f t="shared" si="73"/>
        <v>1353.5550000000003</v>
      </c>
      <c r="Y90" s="17">
        <f t="shared" si="73"/>
        <v>506.01737451737455</v>
      </c>
      <c r="Z90" s="17">
        <f t="shared" si="73"/>
        <v>22.605749238676189</v>
      </c>
      <c r="AA90" s="17">
        <f t="shared" si="73"/>
        <v>18.889429234236815</v>
      </c>
      <c r="AB90" s="17">
        <f t="shared" si="73"/>
        <v>468</v>
      </c>
      <c r="AC90" s="78">
        <f t="shared" si="73"/>
        <v>2442.7866415316093</v>
      </c>
      <c r="AF90" s="225" t="s">
        <v>118</v>
      </c>
      <c r="AG90" s="225"/>
      <c r="AH90" s="108">
        <f t="shared" ref="AH90" si="74">SUBTOTAL(9,AH92:AH114)</f>
        <v>8320</v>
      </c>
      <c r="AI90" s="95"/>
    </row>
    <row r="91" spans="1:35" x14ac:dyDescent="0.3">
      <c r="A91" s="1" t="s">
        <v>145</v>
      </c>
      <c r="B91" s="1" t="s">
        <v>30</v>
      </c>
      <c r="C91" s="1" t="s">
        <v>0</v>
      </c>
      <c r="D91" s="1" t="s">
        <v>4</v>
      </c>
      <c r="E91" s="1" t="s">
        <v>5</v>
      </c>
      <c r="F91" s="1" t="s">
        <v>45</v>
      </c>
      <c r="G91" s="1" t="s">
        <v>57</v>
      </c>
      <c r="H91" s="1" t="s">
        <v>6</v>
      </c>
      <c r="I91" s="1" t="s">
        <v>2</v>
      </c>
      <c r="J91" s="1" t="s">
        <v>7</v>
      </c>
      <c r="K91" s="1" t="s">
        <v>31</v>
      </c>
      <c r="L91" s="1" t="s">
        <v>8</v>
      </c>
      <c r="M91" s="1" t="s">
        <v>34</v>
      </c>
      <c r="N91" s="1" t="s">
        <v>35</v>
      </c>
      <c r="O91" s="1" t="s">
        <v>37</v>
      </c>
      <c r="P91" s="1" t="s">
        <v>93</v>
      </c>
      <c r="Q91" s="1" t="s">
        <v>94</v>
      </c>
      <c r="R91" s="11" t="s">
        <v>39</v>
      </c>
      <c r="S91" s="2" t="s">
        <v>43</v>
      </c>
      <c r="T91" s="2" t="s">
        <v>2</v>
      </c>
      <c r="U91" s="76" t="s">
        <v>7</v>
      </c>
      <c r="V91" s="2" t="str">
        <f>+V4</f>
        <v>energia €/h</v>
      </c>
      <c r="W91" s="2" t="str">
        <f t="shared" ref="W91:AB91" si="75">+W4</f>
        <v>materiale €/Kg</v>
      </c>
      <c r="X91" s="2" t="str">
        <f t="shared" si="75"/>
        <v>mod</v>
      </c>
      <c r="Y91" s="2" t="str">
        <f t="shared" si="75"/>
        <v>ammort</v>
      </c>
      <c r="Z91" s="2" t="str">
        <f t="shared" si="75"/>
        <v>Accensione</v>
      </c>
      <c r="AA91" s="2" t="str">
        <f t="shared" si="75"/>
        <v>trasporto</v>
      </c>
      <c r="AB91" s="2" t="str">
        <f t="shared" si="75"/>
        <v>forniture</v>
      </c>
      <c r="AC91" s="80" t="s">
        <v>42</v>
      </c>
      <c r="AD91" s="53" t="s">
        <v>116</v>
      </c>
      <c r="AE91" s="1" t="s">
        <v>117</v>
      </c>
      <c r="AF91" s="1" t="s">
        <v>119</v>
      </c>
      <c r="AG91" s="1" t="s">
        <v>120</v>
      </c>
      <c r="AH91" s="1" t="s">
        <v>121</v>
      </c>
    </row>
    <row r="92" spans="1:35" ht="14.4" customHeight="1" x14ac:dyDescent="0.3">
      <c r="A92" s="222" t="s">
        <v>414</v>
      </c>
      <c r="B92" s="4" t="str">
        <f>+B63</f>
        <v>OSTELLIERE</v>
      </c>
      <c r="C92" s="4" t="str">
        <f>+C63</f>
        <v>Tavolo twist Logo</v>
      </c>
      <c r="D92" s="5">
        <f>+D63</f>
        <v>8</v>
      </c>
      <c r="E92" s="5">
        <f>+E63</f>
        <v>10</v>
      </c>
      <c r="F92" s="5">
        <f>+F63</f>
        <v>1.22</v>
      </c>
      <c r="G92" s="5">
        <f t="shared" ref="G92:J92" si="76">+G63</f>
        <v>82</v>
      </c>
      <c r="H92" s="4">
        <f t="shared" si="76"/>
        <v>7.9769999999999997E-3</v>
      </c>
      <c r="I92" s="6">
        <f t="shared" si="76"/>
        <v>22.158333333333331</v>
      </c>
      <c r="J92" s="6">
        <f t="shared" si="76"/>
        <v>19.942499999999999</v>
      </c>
      <c r="R92" s="5">
        <f>+'Project Ostelliere'!R53</f>
        <v>2</v>
      </c>
      <c r="S92" s="6">
        <f>+'Project Ostelliere'!S53</f>
        <v>164</v>
      </c>
      <c r="T92" s="6">
        <f>+'Project Ostelliere'!T53</f>
        <v>44.316666666666663</v>
      </c>
      <c r="U92" s="6">
        <f>+'Project Ostelliere'!U53</f>
        <v>39.884999999999998</v>
      </c>
      <c r="V92" s="81">
        <f>+'Project Ostelliere'!V53</f>
        <v>1.3877874050026131</v>
      </c>
      <c r="W92" s="82">
        <f>+'Project Ostelliere'!W53</f>
        <v>0.27077926499999999</v>
      </c>
      <c r="X92" s="82">
        <f>+'Project Ostelliere'!X53</f>
        <v>25.830000000000005</v>
      </c>
      <c r="Y92" s="82">
        <f>+'Project Ostelliere'!Y53</f>
        <v>9.6563706563706564</v>
      </c>
      <c r="Z92" s="82">
        <f>+'Project Ostelliere'!Z53</f>
        <v>0.43552879096190478</v>
      </c>
      <c r="AA92" s="82">
        <f>+'Project Ostelliere'!AA53</f>
        <v>5.1372452905594805</v>
      </c>
      <c r="AB92" s="82">
        <f>+'Project Ostelliere'!AB53</f>
        <v>300</v>
      </c>
      <c r="AC92" s="83">
        <f>SUM(V92:AB92)</f>
        <v>342.71771140789463</v>
      </c>
      <c r="AD92" s="93">
        <f>+AC92/R92</f>
        <v>171.35885570394731</v>
      </c>
      <c r="AE92" s="93">
        <f>+AE63</f>
        <v>800</v>
      </c>
      <c r="AF92" s="90">
        <f>+AE92-AD92</f>
        <v>628.64114429605274</v>
      </c>
      <c r="AG92" s="91">
        <f>+AF92/AD92</f>
        <v>3.6685652557235873</v>
      </c>
      <c r="AH92" s="92">
        <f>+AE92*R92</f>
        <v>1600</v>
      </c>
    </row>
    <row r="93" spans="1:35" x14ac:dyDescent="0.3">
      <c r="A93" s="223"/>
      <c r="B93" s="4" t="str">
        <f t="shared" ref="B93:J93" si="77">+B64</f>
        <v>OSTELLIERE</v>
      </c>
      <c r="C93" s="4" t="str">
        <f t="shared" si="77"/>
        <v xml:space="preserve">Vaso bitorzolo curvo </v>
      </c>
      <c r="D93" s="5">
        <f t="shared" si="77"/>
        <v>4</v>
      </c>
      <c r="E93" s="5">
        <f t="shared" si="77"/>
        <v>2</v>
      </c>
      <c r="F93" s="5">
        <f t="shared" si="77"/>
        <v>5.21</v>
      </c>
      <c r="G93" s="5">
        <f t="shared" si="77"/>
        <v>321</v>
      </c>
      <c r="H93" s="4">
        <f t="shared" si="77"/>
        <v>6.0029599999999995E-4</v>
      </c>
      <c r="I93" s="6">
        <f t="shared" si="77"/>
        <v>1.6674888888888888</v>
      </c>
      <c r="J93" s="6">
        <f t="shared" si="77"/>
        <v>1.50074</v>
      </c>
      <c r="R93" s="5">
        <f>+'Project Ostelliere'!R54</f>
        <v>2</v>
      </c>
      <c r="S93" s="6">
        <f>+'Project Ostelliere'!S54</f>
        <v>642</v>
      </c>
      <c r="T93" s="6">
        <f>+'Project Ostelliere'!T54</f>
        <v>3.3349777777777776</v>
      </c>
      <c r="U93" s="6">
        <f>+'Project Ostelliere'!U54</f>
        <v>3.0014799999999999</v>
      </c>
      <c r="V93" s="81">
        <f>+'Project Ostelliere'!V54</f>
        <v>5.4326799634858398</v>
      </c>
      <c r="W93" s="82">
        <f>+'Project Ostelliere'!W54</f>
        <v>2.0377047719999999E-2</v>
      </c>
      <c r="X93" s="82">
        <f>+'Project Ostelliere'!X54</f>
        <v>101.11500000000002</v>
      </c>
      <c r="Y93" s="82">
        <f>+'Project Ostelliere'!Y54</f>
        <v>37.801158301158303</v>
      </c>
      <c r="Z93" s="82">
        <f>+'Project Ostelliere'!Z54</f>
        <v>1.7049358768142857</v>
      </c>
      <c r="AA93" s="82">
        <f>+'Project Ostelliere'!AA54</f>
        <v>0.38659493530671857</v>
      </c>
      <c r="AB93" s="82">
        <f>+'Project Ostelliere'!AB54</f>
        <v>0</v>
      </c>
      <c r="AC93" s="83">
        <f t="shared" ref="AC93:AC114" si="78">SUM(V93:AB93)</f>
        <v>146.46074612448518</v>
      </c>
      <c r="AD93" s="93">
        <f t="shared" ref="AD93:AD114" si="79">+AC93/R93</f>
        <v>73.230373062242592</v>
      </c>
      <c r="AE93" s="93">
        <f t="shared" ref="AE93:AE114" si="80">+AE64</f>
        <v>250</v>
      </c>
      <c r="AF93" s="90">
        <f t="shared" ref="AF93:AF114" si="81">+AE93-AD93</f>
        <v>176.76962693775741</v>
      </c>
      <c r="AG93" s="91">
        <f t="shared" ref="AG93:AG114" si="82">+AF93/AD93</f>
        <v>2.4138840148678611</v>
      </c>
      <c r="AH93" s="92">
        <f t="shared" ref="AH93:AH114" si="83">+AE93*R93</f>
        <v>500</v>
      </c>
    </row>
    <row r="94" spans="1:35" x14ac:dyDescent="0.3">
      <c r="A94" s="223"/>
      <c r="B94" s="4" t="str">
        <f t="shared" ref="B94:J94" si="84">+B65</f>
        <v>OSTELLIERE</v>
      </c>
      <c r="C94" s="4" t="str">
        <f t="shared" si="84"/>
        <v>Vaso bitorzolo twist</v>
      </c>
      <c r="D94" s="5">
        <f t="shared" si="84"/>
        <v>4</v>
      </c>
      <c r="E94" s="5">
        <f t="shared" si="84"/>
        <v>2</v>
      </c>
      <c r="F94" s="5">
        <f t="shared" si="84"/>
        <v>5.15</v>
      </c>
      <c r="G94" s="5">
        <f t="shared" si="84"/>
        <v>315</v>
      </c>
      <c r="H94" s="4">
        <f t="shared" si="84"/>
        <v>8.005105E-4</v>
      </c>
      <c r="I94" s="6">
        <f t="shared" si="84"/>
        <v>2.2236402777777777</v>
      </c>
      <c r="J94" s="6">
        <f t="shared" si="84"/>
        <v>2.0012762500000001</v>
      </c>
      <c r="R94" s="5">
        <f>+'Project Ostelliere'!R55</f>
        <v>2</v>
      </c>
      <c r="S94" s="6">
        <f>+'Project Ostelliere'!S55</f>
        <v>630</v>
      </c>
      <c r="T94" s="6">
        <f>+'Project Ostelliere'!T55</f>
        <v>4.4472805555555555</v>
      </c>
      <c r="U94" s="6">
        <f>+'Project Ostelliere'!U55</f>
        <v>4.0025525000000002</v>
      </c>
      <c r="V94" s="81">
        <f>+'Project Ostelliere'!V55</f>
        <v>5.3311345436076003</v>
      </c>
      <c r="W94" s="82">
        <f>+'Project Ostelliere'!W55</f>
        <v>2.71733289225E-2</v>
      </c>
      <c r="X94" s="82">
        <f>+'Project Ostelliere'!X55</f>
        <v>99.225000000000023</v>
      </c>
      <c r="Y94" s="82">
        <f>+'Project Ostelliere'!Y55</f>
        <v>37.094594594594597</v>
      </c>
      <c r="Z94" s="82">
        <f>+'Project Ostelliere'!Z55</f>
        <v>1.6730679165000002</v>
      </c>
      <c r="AA94" s="82">
        <f>+'Project Ostelliere'!AA55</f>
        <v>0.51553451124086935</v>
      </c>
      <c r="AB94" s="82">
        <f>+'Project Ostelliere'!AB55</f>
        <v>0</v>
      </c>
      <c r="AC94" s="83">
        <f t="shared" si="78"/>
        <v>143.86650489486561</v>
      </c>
      <c r="AD94" s="93">
        <f t="shared" si="79"/>
        <v>71.933252447432807</v>
      </c>
      <c r="AE94" s="93">
        <f t="shared" si="80"/>
        <v>250</v>
      </c>
      <c r="AF94" s="90">
        <f t="shared" si="81"/>
        <v>178.06674755256719</v>
      </c>
      <c r="AG94" s="91">
        <f t="shared" si="82"/>
        <v>2.475444130413738</v>
      </c>
      <c r="AH94" s="92">
        <f t="shared" si="83"/>
        <v>500</v>
      </c>
    </row>
    <row r="95" spans="1:35" x14ac:dyDescent="0.3">
      <c r="A95" s="223"/>
      <c r="B95" s="4" t="str">
        <f t="shared" ref="B95:J95" si="85">+B66</f>
        <v>OSTELLIERE</v>
      </c>
      <c r="C95" s="4" t="str">
        <f t="shared" si="85"/>
        <v>Vaso bitorzolo dritto</v>
      </c>
      <c r="D95" s="5">
        <f t="shared" si="85"/>
        <v>4</v>
      </c>
      <c r="E95" s="5">
        <f t="shared" si="85"/>
        <v>2</v>
      </c>
      <c r="F95" s="5">
        <f t="shared" si="85"/>
        <v>4.4800000000000004</v>
      </c>
      <c r="G95" s="5">
        <f t="shared" si="85"/>
        <v>288</v>
      </c>
      <c r="H95" s="4">
        <f t="shared" si="85"/>
        <v>8.2321687099999998E-4</v>
      </c>
      <c r="I95" s="6">
        <f t="shared" si="85"/>
        <v>2.2867135305555553</v>
      </c>
      <c r="J95" s="6">
        <f t="shared" si="85"/>
        <v>2.0580421775</v>
      </c>
      <c r="R95" s="5">
        <f>+'Project Ostelliere'!R56</f>
        <v>2</v>
      </c>
      <c r="S95" s="6">
        <f>+'Project Ostelliere'!S56</f>
        <v>576</v>
      </c>
      <c r="T95" s="6">
        <f>+'Project Ostelliere'!T56</f>
        <v>4.5734270611111105</v>
      </c>
      <c r="U95" s="6">
        <f>+'Project Ostelliere'!U56</f>
        <v>4.1160843549999999</v>
      </c>
      <c r="V95" s="81">
        <f>+'Project Ostelliere'!V56</f>
        <v>4.8741801541555203</v>
      </c>
      <c r="W95" s="82">
        <f>+'Project Ostelliere'!W56</f>
        <v>2.7944096686094998E-2</v>
      </c>
      <c r="X95" s="82">
        <f>+'Project Ostelliere'!X56</f>
        <v>90.720000000000013</v>
      </c>
      <c r="Y95" s="82">
        <f>+'Project Ostelliere'!Y56</f>
        <v>33.915057915057915</v>
      </c>
      <c r="Z95" s="82">
        <f>+'Project Ostelliere'!Z56</f>
        <v>1.5296620950857143</v>
      </c>
      <c r="AA95" s="82">
        <f>+'Project Ostelliere'!AA56</f>
        <v>0.53015757724130141</v>
      </c>
      <c r="AB95" s="82">
        <f>+'Project Ostelliere'!AB56</f>
        <v>0</v>
      </c>
      <c r="AC95" s="83">
        <f t="shared" si="78"/>
        <v>131.59700183822656</v>
      </c>
      <c r="AD95" s="93">
        <f t="shared" si="79"/>
        <v>65.79850091911328</v>
      </c>
      <c r="AE95" s="93">
        <f t="shared" si="80"/>
        <v>250</v>
      </c>
      <c r="AF95" s="90">
        <f t="shared" si="81"/>
        <v>184.20149908088672</v>
      </c>
      <c r="AG95" s="91">
        <f t="shared" si="82"/>
        <v>2.7994786584473612</v>
      </c>
      <c r="AH95" s="92">
        <f t="shared" si="83"/>
        <v>500</v>
      </c>
    </row>
    <row r="96" spans="1:35" x14ac:dyDescent="0.3">
      <c r="A96" s="223"/>
      <c r="B96" s="4" t="str">
        <f t="shared" ref="B96:J96" si="86">+B67</f>
        <v>OSTELLIERE</v>
      </c>
      <c r="C96" s="4" t="str">
        <f t="shared" si="86"/>
        <v>Porta riviste</v>
      </c>
      <c r="D96" s="5">
        <f t="shared" si="86"/>
        <v>10</v>
      </c>
      <c r="E96" s="5">
        <f t="shared" si="86"/>
        <v>10</v>
      </c>
      <c r="F96" s="5">
        <f t="shared" si="86"/>
        <v>0.42</v>
      </c>
      <c r="G96" s="5">
        <f t="shared" si="86"/>
        <v>42</v>
      </c>
      <c r="H96" s="4">
        <f t="shared" si="86"/>
        <v>3.5606798E-3</v>
      </c>
      <c r="I96" s="6">
        <f t="shared" si="86"/>
        <v>9.890777222222221</v>
      </c>
      <c r="J96" s="6">
        <f t="shared" si="86"/>
        <v>8.9016994999999994</v>
      </c>
      <c r="R96" s="5">
        <f>+'Project Ostelliere'!R57</f>
        <v>2</v>
      </c>
      <c r="S96" s="6">
        <f>+'Project Ostelliere'!S57</f>
        <v>84</v>
      </c>
      <c r="T96" s="6">
        <f>+'Project Ostelliere'!T57</f>
        <v>19.781554444444442</v>
      </c>
      <c r="U96" s="6">
        <f>+'Project Ostelliere'!U57</f>
        <v>17.803398999999999</v>
      </c>
      <c r="V96" s="81">
        <f>+'Project Ostelliere'!V57</f>
        <v>0.71081793914767988</v>
      </c>
      <c r="W96" s="82">
        <f>+'Project Ostelliere'!W57</f>
        <v>0.12086727581099999</v>
      </c>
      <c r="X96" s="82">
        <f>+'Project Ostelliere'!X57</f>
        <v>13.230000000000002</v>
      </c>
      <c r="Y96" s="82">
        <f>+'Project Ostelliere'!Y57</f>
        <v>4.9459459459459456</v>
      </c>
      <c r="Z96" s="82">
        <f>+'Project Ostelliere'!Z57</f>
        <v>0.22307572219999999</v>
      </c>
      <c r="AA96" s="82">
        <f>+'Project Ostelliere'!AA57</f>
        <v>2.2931033638887142</v>
      </c>
      <c r="AB96" s="82">
        <f>+'Project Ostelliere'!AB57</f>
        <v>0</v>
      </c>
      <c r="AC96" s="83">
        <f t="shared" si="78"/>
        <v>21.523810246993346</v>
      </c>
      <c r="AD96" s="93">
        <f t="shared" si="79"/>
        <v>10.761905123496673</v>
      </c>
      <c r="AE96" s="93">
        <f t="shared" si="80"/>
        <v>130</v>
      </c>
      <c r="AF96" s="90">
        <f t="shared" si="81"/>
        <v>119.23809487650333</v>
      </c>
      <c r="AG96" s="91">
        <f t="shared" si="82"/>
        <v>11.079645611832103</v>
      </c>
      <c r="AH96" s="92">
        <f t="shared" si="83"/>
        <v>260</v>
      </c>
    </row>
    <row r="97" spans="1:34" x14ac:dyDescent="0.3">
      <c r="A97" s="223"/>
      <c r="B97" s="4" t="str">
        <f t="shared" ref="B97:J97" si="87">+B68</f>
        <v>OSTELLIERE</v>
      </c>
      <c r="C97" s="4" t="str">
        <f t="shared" si="87"/>
        <v>Lampada 90 grossa</v>
      </c>
      <c r="D97" s="5">
        <f t="shared" si="87"/>
        <v>8</v>
      </c>
      <c r="E97" s="5">
        <f t="shared" si="87"/>
        <v>10</v>
      </c>
      <c r="F97" s="5">
        <f t="shared" si="87"/>
        <v>1.39</v>
      </c>
      <c r="G97" s="5">
        <f t="shared" si="87"/>
        <v>99</v>
      </c>
      <c r="H97" s="4">
        <f t="shared" si="87"/>
        <v>1.7366300000000001E-3</v>
      </c>
      <c r="I97" s="6">
        <f t="shared" si="87"/>
        <v>4.8239722222222232</v>
      </c>
      <c r="J97" s="6">
        <f t="shared" si="87"/>
        <v>4.3415750000000006</v>
      </c>
      <c r="R97" s="5">
        <f>+'Project Ostelliere'!R58</f>
        <v>1</v>
      </c>
      <c r="S97" s="6">
        <f>+'Project Ostelliere'!S58</f>
        <v>99</v>
      </c>
      <c r="T97" s="6">
        <f>+'Project Ostelliere'!T58</f>
        <v>4.8239722222222232</v>
      </c>
      <c r="U97" s="6">
        <f>+'Project Ostelliere'!U58</f>
        <v>4.3415750000000006</v>
      </c>
      <c r="V97" s="81">
        <f>+'Project Ostelliere'!V58</f>
        <v>0.83774971399547993</v>
      </c>
      <c r="W97" s="82">
        <f>+'Project Ostelliere'!W58</f>
        <v>2.9474952675000003E-2</v>
      </c>
      <c r="X97" s="82">
        <f>+'Project Ostelliere'!X58</f>
        <v>15.592500000000003</v>
      </c>
      <c r="Y97" s="82">
        <f>+'Project Ostelliere'!Y58</f>
        <v>5.8291505791505793</v>
      </c>
      <c r="Z97" s="82">
        <f>+'Project Ostelliere'!Z58</f>
        <v>0.26291067259285716</v>
      </c>
      <c r="AA97" s="82">
        <f>+'Project Ostelliere'!AA58</f>
        <v>0.55920109621062508</v>
      </c>
      <c r="AB97" s="82">
        <f>+'Project Ostelliere'!AB58</f>
        <v>24</v>
      </c>
      <c r="AC97" s="83">
        <f t="shared" si="78"/>
        <v>47.110987014624541</v>
      </c>
      <c r="AD97" s="93">
        <f t="shared" si="79"/>
        <v>47.110987014624541</v>
      </c>
      <c r="AE97" s="93">
        <f t="shared" si="80"/>
        <v>400</v>
      </c>
      <c r="AF97" s="90">
        <f t="shared" si="81"/>
        <v>352.88901298537547</v>
      </c>
      <c r="AG97" s="91">
        <f t="shared" si="82"/>
        <v>7.4905884029945931</v>
      </c>
      <c r="AH97" s="92">
        <f t="shared" si="83"/>
        <v>400</v>
      </c>
    </row>
    <row r="98" spans="1:34" x14ac:dyDescent="0.3">
      <c r="A98" s="223"/>
      <c r="B98" s="4" t="str">
        <f t="shared" ref="B98:J98" si="88">+B69</f>
        <v>OSTELLIERE</v>
      </c>
      <c r="C98" s="4" t="str">
        <f t="shared" si="88"/>
        <v>Lampada 90 piccola</v>
      </c>
      <c r="D98" s="5">
        <f t="shared" si="88"/>
        <v>5</v>
      </c>
      <c r="E98" s="5">
        <f t="shared" si="88"/>
        <v>10</v>
      </c>
      <c r="F98" s="5">
        <f t="shared" si="88"/>
        <v>1.1499999999999999</v>
      </c>
      <c r="G98" s="5">
        <f t="shared" si="88"/>
        <v>75</v>
      </c>
      <c r="H98" s="4">
        <f t="shared" si="88"/>
        <v>8.1557296000000004E-4</v>
      </c>
      <c r="I98" s="6">
        <f t="shared" si="88"/>
        <v>2.2654804444444445</v>
      </c>
      <c r="J98" s="6">
        <f t="shared" si="88"/>
        <v>2.0389324000000002</v>
      </c>
      <c r="R98" s="5">
        <f>+'Project Ostelliere'!R59</f>
        <v>6</v>
      </c>
      <c r="S98" s="6">
        <f>+'Project Ostelliere'!S59</f>
        <v>450</v>
      </c>
      <c r="T98" s="6">
        <f>+'Project Ostelliere'!T59</f>
        <v>13.592882666666668</v>
      </c>
      <c r="U98" s="6">
        <f>+'Project Ostelliere'!U59</f>
        <v>12.233594400000001</v>
      </c>
      <c r="V98" s="81">
        <f>+'Project Ostelliere'!V59</f>
        <v>3.8079532454339997</v>
      </c>
      <c r="W98" s="82">
        <f>+'Project Ostelliere'!W59</f>
        <v>8.3053872381600002E-2</v>
      </c>
      <c r="X98" s="82">
        <f>+'Project Ostelliere'!X59</f>
        <v>70.875000000000014</v>
      </c>
      <c r="Y98" s="82">
        <f>+'Project Ostelliere'!Y59</f>
        <v>26.496138996138995</v>
      </c>
      <c r="Z98" s="82">
        <f>+'Project Ostelliere'!Z59</f>
        <v>1.1950485117857144</v>
      </c>
      <c r="AA98" s="82">
        <f>+'Project Ostelliere'!AA59</f>
        <v>1.5757045309769298</v>
      </c>
      <c r="AB98" s="82">
        <f>+'Project Ostelliere'!AB59</f>
        <v>144</v>
      </c>
      <c r="AC98" s="83">
        <f t="shared" si="78"/>
        <v>248.03289915671726</v>
      </c>
      <c r="AD98" s="93">
        <f t="shared" si="79"/>
        <v>41.338816526119544</v>
      </c>
      <c r="AE98" s="93">
        <f t="shared" si="80"/>
        <v>200</v>
      </c>
      <c r="AF98" s="90">
        <f t="shared" si="81"/>
        <v>158.66118347388044</v>
      </c>
      <c r="AG98" s="91">
        <f t="shared" si="82"/>
        <v>3.8380678695441572</v>
      </c>
      <c r="AH98" s="92">
        <f t="shared" si="83"/>
        <v>1200</v>
      </c>
    </row>
    <row r="99" spans="1:34" x14ac:dyDescent="0.3">
      <c r="A99" s="223"/>
      <c r="B99" s="4" t="str">
        <f t="shared" ref="B99:J99" si="89">+B70</f>
        <v>OSTELLIERE</v>
      </c>
      <c r="C99" s="4" t="str">
        <f t="shared" si="89"/>
        <v>Vaso Logo</v>
      </c>
      <c r="D99" s="5">
        <f t="shared" si="89"/>
        <v>5</v>
      </c>
      <c r="E99" s="5">
        <f t="shared" si="89"/>
        <v>10</v>
      </c>
      <c r="F99" s="5">
        <f t="shared" si="89"/>
        <v>0.39</v>
      </c>
      <c r="G99" s="5">
        <f t="shared" si="89"/>
        <v>39</v>
      </c>
      <c r="H99" s="4">
        <f t="shared" si="89"/>
        <v>1.1639584900000001E-3</v>
      </c>
      <c r="I99" s="6">
        <f t="shared" si="89"/>
        <v>3.2332180277777778</v>
      </c>
      <c r="J99" s="6">
        <f t="shared" si="89"/>
        <v>2.9098962250000002</v>
      </c>
      <c r="R99" s="5">
        <f>+'Project Ostelliere'!R60</f>
        <v>3</v>
      </c>
      <c r="S99" s="6">
        <f>+'Project Ostelliere'!S60</f>
        <v>117</v>
      </c>
      <c r="T99" s="6">
        <f>+'Project Ostelliere'!T60</f>
        <v>9.6996540833333338</v>
      </c>
      <c r="U99" s="6">
        <f>+'Project Ostelliere'!U60</f>
        <v>8.7296886750000002</v>
      </c>
      <c r="V99" s="81">
        <f>+'Project Ostelliere'!V60</f>
        <v>0.99006784381283996</v>
      </c>
      <c r="W99" s="82">
        <f>+'Project Ostelliere'!W60</f>
        <v>5.9265856414574998E-2</v>
      </c>
      <c r="X99" s="82">
        <f>+'Project Ostelliere'!X60</f>
        <v>18.427500000000002</v>
      </c>
      <c r="Y99" s="82">
        <f>+'Project Ostelliere'!Y60</f>
        <v>6.8889961389961387</v>
      </c>
      <c r="Z99" s="82">
        <f>+'Project Ostelliere'!Z60</f>
        <v>0.31071261306428571</v>
      </c>
      <c r="AA99" s="82">
        <f>+'Project Ostelliere'!AA60</f>
        <v>1.1243964406091058</v>
      </c>
      <c r="AB99" s="82">
        <f>+'Project Ostelliere'!AB60</f>
        <v>0</v>
      </c>
      <c r="AC99" s="83">
        <f t="shared" si="78"/>
        <v>27.800938892896948</v>
      </c>
      <c r="AD99" s="93">
        <f t="shared" si="79"/>
        <v>9.2669796309656487</v>
      </c>
      <c r="AE99" s="93">
        <f t="shared" si="80"/>
        <v>310</v>
      </c>
      <c r="AF99" s="90">
        <f t="shared" si="81"/>
        <v>300.73302036903436</v>
      </c>
      <c r="AG99" s="91">
        <f t="shared" si="82"/>
        <v>32.452107627833108</v>
      </c>
      <c r="AH99" s="92">
        <f t="shared" si="83"/>
        <v>930</v>
      </c>
    </row>
    <row r="100" spans="1:34" x14ac:dyDescent="0.3">
      <c r="A100" s="223"/>
      <c r="B100" s="4" t="str">
        <f t="shared" ref="B100:J100" si="90">+B71</f>
        <v>OSTELLIERE</v>
      </c>
      <c r="C100" s="4" t="str">
        <f t="shared" si="90"/>
        <v>Copri candela</v>
      </c>
      <c r="D100" s="5">
        <f t="shared" si="90"/>
        <v>4</v>
      </c>
      <c r="E100" s="5">
        <f t="shared" si="90"/>
        <v>5</v>
      </c>
      <c r="F100" s="5">
        <f t="shared" si="90"/>
        <v>0.34</v>
      </c>
      <c r="G100" s="5">
        <f t="shared" si="90"/>
        <v>34</v>
      </c>
      <c r="H100" s="4">
        <f t="shared" si="90"/>
        <v>2.3780405299999999E-4</v>
      </c>
      <c r="I100" s="6">
        <f t="shared" si="90"/>
        <v>0.66056681388888883</v>
      </c>
      <c r="J100" s="6">
        <f t="shared" si="90"/>
        <v>0.59451013249999995</v>
      </c>
      <c r="R100" s="5">
        <f>+'Project Ostelliere'!R61</f>
        <v>15</v>
      </c>
      <c r="S100" s="6">
        <f>+'Project Ostelliere'!S61</f>
        <v>510</v>
      </c>
      <c r="T100" s="6">
        <f>+'Project Ostelliere'!T61</f>
        <v>9.9085022083333332</v>
      </c>
      <c r="U100" s="6">
        <f>+'Project Ostelliere'!U61</f>
        <v>8.9176519874999993</v>
      </c>
      <c r="V100" s="81">
        <f>+'Project Ostelliere'!V61</f>
        <v>4.3156803448251999</v>
      </c>
      <c r="W100" s="82">
        <f>+'Project Ostelliere'!W61</f>
        <v>6.0541939343137494E-2</v>
      </c>
      <c r="X100" s="82">
        <f>+'Project Ostelliere'!X61</f>
        <v>80.325000000000017</v>
      </c>
      <c r="Y100" s="82">
        <f>+'Project Ostelliere'!Y61</f>
        <v>30.02895752895753</v>
      </c>
      <c r="Z100" s="82">
        <f>+'Project Ostelliere'!Z61</f>
        <v>1.3543883133571428</v>
      </c>
      <c r="AA100" s="82">
        <f>+'Project Ostelliere'!AA61</f>
        <v>1.1486063852484083</v>
      </c>
      <c r="AB100" s="82">
        <f>+'Project Ostelliere'!AB61</f>
        <v>0</v>
      </c>
      <c r="AC100" s="83">
        <f t="shared" si="78"/>
        <v>117.23317451173145</v>
      </c>
      <c r="AD100" s="93">
        <f t="shared" si="79"/>
        <v>7.8155449674487629</v>
      </c>
      <c r="AE100" s="93">
        <f t="shared" si="80"/>
        <v>20</v>
      </c>
      <c r="AF100" s="90">
        <f t="shared" si="81"/>
        <v>12.184455032551238</v>
      </c>
      <c r="AG100" s="91">
        <f t="shared" si="82"/>
        <v>1.5590026138034778</v>
      </c>
      <c r="AH100" s="92">
        <f t="shared" si="83"/>
        <v>300</v>
      </c>
    </row>
    <row r="101" spans="1:34" x14ac:dyDescent="0.3">
      <c r="A101" s="223"/>
      <c r="B101" s="4" t="str">
        <f t="shared" ref="B101:J101" si="91">+B72</f>
        <v>OSTELLIERE</v>
      </c>
      <c r="C101" s="4" t="str">
        <f t="shared" si="91"/>
        <v xml:space="preserve">Vaso Grosso </v>
      </c>
      <c r="D101" s="5">
        <f t="shared" si="91"/>
        <v>4</v>
      </c>
      <c r="E101" s="5">
        <f t="shared" si="91"/>
        <v>5</v>
      </c>
      <c r="F101" s="5">
        <f t="shared" si="91"/>
        <v>1.31</v>
      </c>
      <c r="G101" s="5">
        <f t="shared" si="91"/>
        <v>91</v>
      </c>
      <c r="H101" s="4">
        <f t="shared" si="91"/>
        <v>9.52764444E-4</v>
      </c>
      <c r="I101" s="6">
        <f t="shared" si="91"/>
        <v>2.6465679</v>
      </c>
      <c r="J101" s="6">
        <f t="shared" si="91"/>
        <v>2.3819111099999999</v>
      </c>
      <c r="R101" s="5">
        <f>+'Project Ostelliere'!R62</f>
        <v>2</v>
      </c>
      <c r="S101" s="6">
        <f>+'Project Ostelliere'!S62</f>
        <v>182</v>
      </c>
      <c r="T101" s="6">
        <f>+'Project Ostelliere'!T62</f>
        <v>5.2931357999999999</v>
      </c>
      <c r="U101" s="6">
        <f>+'Project Ostelliere'!U62</f>
        <v>4.7638222199999998</v>
      </c>
      <c r="V101" s="81">
        <f>+'Project Ostelliere'!V62</f>
        <v>1.5401055348199733</v>
      </c>
      <c r="W101" s="82">
        <f>+'Project Ostelliere'!W62</f>
        <v>3.2341589051580001E-2</v>
      </c>
      <c r="X101" s="82">
        <f>+'Project Ostelliere'!X62</f>
        <v>28.665000000000006</v>
      </c>
      <c r="Y101" s="82">
        <f>+'Project Ostelliere'!Y62</f>
        <v>10.716216216216216</v>
      </c>
      <c r="Z101" s="82">
        <f>+'Project Ostelliere'!Z62</f>
        <v>0.48333073143333333</v>
      </c>
      <c r="AA101" s="82">
        <f>+'Project Ostelliere'!AA62</f>
        <v>0.61358714465983732</v>
      </c>
      <c r="AB101" s="82">
        <f>+'Project Ostelliere'!AB62</f>
        <v>0</v>
      </c>
      <c r="AC101" s="83">
        <f t="shared" si="78"/>
        <v>42.050581216180944</v>
      </c>
      <c r="AD101" s="93">
        <f t="shared" si="79"/>
        <v>21.025290608090472</v>
      </c>
      <c r="AE101" s="93">
        <f t="shared" si="80"/>
        <v>200</v>
      </c>
      <c r="AF101" s="90">
        <f t="shared" si="81"/>
        <v>178.97470939190953</v>
      </c>
      <c r="AG101" s="91">
        <f t="shared" si="82"/>
        <v>8.5123536567452049</v>
      </c>
      <c r="AH101" s="92">
        <f t="shared" si="83"/>
        <v>400</v>
      </c>
    </row>
    <row r="102" spans="1:34" x14ac:dyDescent="0.3">
      <c r="A102" s="223"/>
      <c r="B102" s="4" t="str">
        <f t="shared" ref="B102:J102" si="92">+B73</f>
        <v>ORTO</v>
      </c>
      <c r="C102" s="4" t="str">
        <f t="shared" si="92"/>
        <v>Bicchiere curve dritto</v>
      </c>
      <c r="D102" s="5">
        <f t="shared" si="92"/>
        <v>2</v>
      </c>
      <c r="E102" s="5">
        <f t="shared" si="92"/>
        <v>2</v>
      </c>
      <c r="F102" s="5">
        <f t="shared" si="92"/>
        <v>0.26</v>
      </c>
      <c r="G102" s="5">
        <f t="shared" si="92"/>
        <v>26</v>
      </c>
      <c r="H102" s="4">
        <f t="shared" si="92"/>
        <v>1.6928511099999999E-4</v>
      </c>
      <c r="I102" s="6">
        <f t="shared" si="92"/>
        <v>0.47023641944444439</v>
      </c>
      <c r="J102" s="6">
        <f t="shared" si="92"/>
        <v>0.42321277749999997</v>
      </c>
      <c r="R102" s="5">
        <f>+'Project Orto'!R56</f>
        <v>12</v>
      </c>
      <c r="S102" s="6">
        <f>+'Project Orto'!S56</f>
        <v>312</v>
      </c>
      <c r="T102" s="6">
        <f>+'Project Orto'!T56</f>
        <v>5.6428370333333326</v>
      </c>
      <c r="U102" s="6">
        <f>+'Project Orto'!U56</f>
        <v>5.0785533300000001</v>
      </c>
      <c r="V102" s="81">
        <f>+'Project Orto'!V56</f>
        <v>2.6401809168342401</v>
      </c>
      <c r="W102" s="82">
        <f>+'Project Orto'!W56</f>
        <v>3.4478298557370002E-2</v>
      </c>
      <c r="X102" s="82">
        <f>+'Project Orto'!X56</f>
        <v>49.140000000000008</v>
      </c>
      <c r="Y102" s="82">
        <f>+'Project Orto'!Y56</f>
        <v>18.37065637065637</v>
      </c>
      <c r="Z102" s="82">
        <f>+'Project Orto'!Z56</f>
        <v>0.82856696817142861</v>
      </c>
      <c r="AA102" s="82">
        <f>+'Project Orto'!AA56</f>
        <v>0.65412496370559525</v>
      </c>
      <c r="AB102" s="82">
        <f>+'Project Orto'!AB56</f>
        <v>0</v>
      </c>
      <c r="AC102" s="83">
        <f t="shared" si="78"/>
        <v>71.668007517925005</v>
      </c>
      <c r="AD102" s="93">
        <f t="shared" si="79"/>
        <v>5.9723339598270835</v>
      </c>
      <c r="AE102" s="93">
        <f t="shared" si="80"/>
        <v>15</v>
      </c>
      <c r="AF102" s="90">
        <f t="shared" si="81"/>
        <v>9.0276660401729174</v>
      </c>
      <c r="AG102" s="91">
        <f t="shared" si="82"/>
        <v>1.5115809164218765</v>
      </c>
      <c r="AH102" s="92">
        <f t="shared" si="83"/>
        <v>180</v>
      </c>
    </row>
    <row r="103" spans="1:34" x14ac:dyDescent="0.3">
      <c r="A103" s="223"/>
      <c r="B103" s="4" t="str">
        <f t="shared" ref="B103:J103" si="93">+B74</f>
        <v>ORTO</v>
      </c>
      <c r="C103" s="4" t="str">
        <f t="shared" si="93"/>
        <v>Bicchiere curve twist</v>
      </c>
      <c r="D103" s="5">
        <f t="shared" si="93"/>
        <v>2</v>
      </c>
      <c r="E103" s="5">
        <f t="shared" si="93"/>
        <v>2</v>
      </c>
      <c r="F103" s="5">
        <f t="shared" si="93"/>
        <v>0.25</v>
      </c>
      <c r="G103" s="5">
        <f t="shared" si="93"/>
        <v>25</v>
      </c>
      <c r="H103" s="4">
        <f t="shared" si="93"/>
        <v>1.69285896E-4</v>
      </c>
      <c r="I103" s="6">
        <f t="shared" si="93"/>
        <v>0.47023859999999995</v>
      </c>
      <c r="J103" s="6">
        <f t="shared" si="93"/>
        <v>0.42321473999999998</v>
      </c>
      <c r="R103" s="5">
        <f>+'Project Orto'!R57</f>
        <v>12</v>
      </c>
      <c r="S103" s="6">
        <f>+'Project Orto'!S57</f>
        <v>300</v>
      </c>
      <c r="T103" s="6">
        <f>+'Project Orto'!T57</f>
        <v>5.642863199999999</v>
      </c>
      <c r="U103" s="6">
        <f>+'Project Orto'!U57</f>
        <v>5.07857688</v>
      </c>
      <c r="V103" s="81">
        <f>+'Project Orto'!V57</f>
        <v>2.5386354969559997</v>
      </c>
      <c r="W103" s="82">
        <f>+'Project Orto'!W57</f>
        <v>3.4478458438320002E-2</v>
      </c>
      <c r="X103" s="82">
        <f>+'Project Orto'!X57</f>
        <v>47.250000000000007</v>
      </c>
      <c r="Y103" s="82">
        <f>+'Project Orto'!Y57</f>
        <v>17.664092664092664</v>
      </c>
      <c r="Z103" s="82">
        <f>+'Project Orto'!Z57</f>
        <v>0.79669900785714287</v>
      </c>
      <c r="AA103" s="82">
        <f>+'Project Orto'!AA57</f>
        <v>0.65412799697942225</v>
      </c>
      <c r="AB103" s="82">
        <f>+'Project Orto'!AB57</f>
        <v>0</v>
      </c>
      <c r="AC103" s="83">
        <f t="shared" si="78"/>
        <v>68.938033624323552</v>
      </c>
      <c r="AD103" s="93">
        <f t="shared" si="79"/>
        <v>5.7448361353602957</v>
      </c>
      <c r="AE103" s="93">
        <f t="shared" si="80"/>
        <v>15</v>
      </c>
      <c r="AF103" s="90">
        <f t="shared" si="81"/>
        <v>9.2551638646397052</v>
      </c>
      <c r="AG103" s="91">
        <f t="shared" si="82"/>
        <v>1.6110405321524901</v>
      </c>
      <c r="AH103" s="92">
        <f t="shared" si="83"/>
        <v>180</v>
      </c>
    </row>
    <row r="104" spans="1:34" x14ac:dyDescent="0.3">
      <c r="A104" s="223"/>
      <c r="B104" s="4" t="str">
        <f t="shared" ref="B104:J104" si="94">+B75</f>
        <v>ORTO</v>
      </c>
      <c r="C104" s="4" t="str">
        <f t="shared" si="94"/>
        <v>Caraffa curva</v>
      </c>
      <c r="D104" s="5">
        <f t="shared" si="94"/>
        <v>2</v>
      </c>
      <c r="E104" s="5">
        <f t="shared" si="94"/>
        <v>2</v>
      </c>
      <c r="F104" s="5">
        <f t="shared" si="94"/>
        <v>0.56999999999999995</v>
      </c>
      <c r="G104" s="5">
        <f t="shared" si="94"/>
        <v>57</v>
      </c>
      <c r="H104" s="4">
        <f t="shared" si="94"/>
        <v>3.69342133E-4</v>
      </c>
      <c r="I104" s="6">
        <f t="shared" si="94"/>
        <v>1.0259503694444445</v>
      </c>
      <c r="J104" s="6">
        <f t="shared" si="94"/>
        <v>0.92335533250000001</v>
      </c>
      <c r="R104" s="5">
        <f>+'Project Orto'!R58</f>
        <v>2</v>
      </c>
      <c r="S104" s="6">
        <f>+'Project Orto'!S58</f>
        <v>114</v>
      </c>
      <c r="T104" s="6">
        <f>+'Project Orto'!T58</f>
        <v>2.051900738888889</v>
      </c>
      <c r="U104" s="6">
        <f>+'Project Orto'!U58</f>
        <v>1.846710665</v>
      </c>
      <c r="V104" s="81">
        <f>+'Project Orto'!V58</f>
        <v>0.96468148884327987</v>
      </c>
      <c r="W104" s="82">
        <f>+'Project Orto'!W58</f>
        <v>1.2537318704685E-2</v>
      </c>
      <c r="X104" s="82">
        <f>+'Project Orto'!X58</f>
        <v>17.955000000000002</v>
      </c>
      <c r="Y104" s="82">
        <f>+'Project Orto'!Y58</f>
        <v>6.7123552123552122</v>
      </c>
      <c r="Z104" s="82">
        <f>+'Project Orto'!Z58</f>
        <v>0.30274562298571428</v>
      </c>
      <c r="AA104" s="82">
        <f>+'Project Orto'!AA58</f>
        <v>0.23785898625541477</v>
      </c>
      <c r="AB104" s="82">
        <f>+'Project Orto'!AB58</f>
        <v>0</v>
      </c>
      <c r="AC104" s="83">
        <f t="shared" si="78"/>
        <v>26.185178629144307</v>
      </c>
      <c r="AD104" s="93">
        <f t="shared" si="79"/>
        <v>13.092589314572153</v>
      </c>
      <c r="AE104" s="93">
        <f t="shared" si="80"/>
        <v>30</v>
      </c>
      <c r="AF104" s="90">
        <f t="shared" si="81"/>
        <v>16.907410685427848</v>
      </c>
      <c r="AG104" s="91">
        <f t="shared" si="82"/>
        <v>1.2913725680381474</v>
      </c>
      <c r="AH104" s="92">
        <f t="shared" si="83"/>
        <v>60</v>
      </c>
    </row>
    <row r="105" spans="1:34" x14ac:dyDescent="0.3">
      <c r="A105" s="223"/>
      <c r="B105" s="4" t="str">
        <f t="shared" ref="B105:J105" si="95">+B76</f>
        <v>ORTO</v>
      </c>
      <c r="C105" s="4" t="str">
        <f t="shared" si="95"/>
        <v>Caraffa colonna dritta</v>
      </c>
      <c r="D105" s="5">
        <f t="shared" si="95"/>
        <v>2</v>
      </c>
      <c r="E105" s="5">
        <f t="shared" si="95"/>
        <v>1</v>
      </c>
      <c r="F105" s="5">
        <f t="shared" si="95"/>
        <v>1.4</v>
      </c>
      <c r="G105" s="5">
        <f t="shared" si="95"/>
        <v>100</v>
      </c>
      <c r="H105" s="4">
        <f t="shared" si="95"/>
        <v>3.2796365999999998E-4</v>
      </c>
      <c r="I105" s="6">
        <f t="shared" si="95"/>
        <v>0.91101016666666657</v>
      </c>
      <c r="J105" s="6">
        <f t="shared" si="95"/>
        <v>0.81990914999999998</v>
      </c>
      <c r="R105" s="5">
        <f>+'Project Orto'!R59</f>
        <v>2</v>
      </c>
      <c r="S105" s="6">
        <f>+'Project Orto'!S59</f>
        <v>200</v>
      </c>
      <c r="T105" s="6">
        <f>+'Project Orto'!T59</f>
        <v>1.8220203333333331</v>
      </c>
      <c r="U105" s="6">
        <f>+'Project Orto'!U59</f>
        <v>1.6398183</v>
      </c>
      <c r="V105" s="81">
        <f>+'Project Orto'!V59</f>
        <v>1.6924236646373332</v>
      </c>
      <c r="W105" s="82">
        <f>+'Project Orto'!W59</f>
        <v>1.1132726438699999E-2</v>
      </c>
      <c r="X105" s="82">
        <f>+'Project Orto'!X59</f>
        <v>31.500000000000007</v>
      </c>
      <c r="Y105" s="82">
        <f>+'Project Orto'!Y59</f>
        <v>11.776061776061777</v>
      </c>
      <c r="Z105" s="82">
        <f>+'Project Orto'!Z59</f>
        <v>0.53113267190476188</v>
      </c>
      <c r="AA105" s="82">
        <f>+'Project Orto'!AA59</f>
        <v>0.21121095246454188</v>
      </c>
      <c r="AB105" s="82">
        <f>+'Project Orto'!AB59</f>
        <v>0</v>
      </c>
      <c r="AC105" s="83">
        <f t="shared" si="78"/>
        <v>45.72196179150712</v>
      </c>
      <c r="AD105" s="93">
        <f t="shared" si="79"/>
        <v>22.86098089575356</v>
      </c>
      <c r="AE105" s="93">
        <f t="shared" si="80"/>
        <v>30</v>
      </c>
      <c r="AF105" s="90">
        <f t="shared" si="81"/>
        <v>7.1390191042464402</v>
      </c>
      <c r="AG105" s="91">
        <f t="shared" si="82"/>
        <v>0.31227964962660537</v>
      </c>
      <c r="AH105" s="92">
        <f t="shared" si="83"/>
        <v>60</v>
      </c>
    </row>
    <row r="106" spans="1:34" x14ac:dyDescent="0.3">
      <c r="A106" s="223"/>
      <c r="B106" s="4" t="str">
        <f t="shared" ref="B106:J106" si="96">+B77</f>
        <v>ORTO</v>
      </c>
      <c r="C106" s="4" t="str">
        <f t="shared" si="96"/>
        <v>Caraffa colonna twist1</v>
      </c>
      <c r="D106" s="5">
        <f t="shared" si="96"/>
        <v>2</v>
      </c>
      <c r="E106" s="5">
        <f t="shared" si="96"/>
        <v>1</v>
      </c>
      <c r="F106" s="5">
        <f t="shared" si="96"/>
        <v>1.41</v>
      </c>
      <c r="G106" s="5">
        <f t="shared" si="96"/>
        <v>101</v>
      </c>
      <c r="H106" s="4">
        <f t="shared" si="96"/>
        <v>3.323221E-4</v>
      </c>
      <c r="I106" s="6">
        <f t="shared" si="96"/>
        <v>0.92311694444444448</v>
      </c>
      <c r="J106" s="6">
        <f t="shared" si="96"/>
        <v>0.83080525000000005</v>
      </c>
      <c r="R106" s="5">
        <f>+'Project Orto'!R60</f>
        <v>2</v>
      </c>
      <c r="S106" s="6">
        <f>+'Project Orto'!S60</f>
        <v>202</v>
      </c>
      <c r="T106" s="6">
        <f>+'Project Orto'!T60</f>
        <v>1.846233888888889</v>
      </c>
      <c r="U106" s="6">
        <f>+'Project Orto'!U60</f>
        <v>1.6616105000000001</v>
      </c>
      <c r="V106" s="81">
        <f>+'Project Orto'!V60</f>
        <v>1.7093479012837065</v>
      </c>
      <c r="W106" s="82">
        <f>+'Project Orto'!W60</f>
        <v>1.12806736845E-2</v>
      </c>
      <c r="X106" s="82">
        <f>+'Project Orto'!X60</f>
        <v>31.815000000000005</v>
      </c>
      <c r="Y106" s="82">
        <f>+'Project Orto'!Y60</f>
        <v>11.893822393822393</v>
      </c>
      <c r="Z106" s="82">
        <f>+'Project Orto'!Z60</f>
        <v>0.53644399862380954</v>
      </c>
      <c r="AA106" s="82">
        <f>+'Project Orto'!AA60</f>
        <v>0.21401781912671894</v>
      </c>
      <c r="AB106" s="82">
        <f>+'Project Orto'!AB60</f>
        <v>0</v>
      </c>
      <c r="AC106" s="83">
        <f t="shared" si="78"/>
        <v>46.179912786541131</v>
      </c>
      <c r="AD106" s="93">
        <f t="shared" si="79"/>
        <v>23.089956393270565</v>
      </c>
      <c r="AE106" s="93">
        <f t="shared" si="80"/>
        <v>30</v>
      </c>
      <c r="AF106" s="90">
        <f t="shared" si="81"/>
        <v>6.9100436067294346</v>
      </c>
      <c r="AG106" s="91">
        <f t="shared" si="82"/>
        <v>0.29926620427673595</v>
      </c>
      <c r="AH106" s="92">
        <f t="shared" si="83"/>
        <v>60</v>
      </c>
    </row>
    <row r="107" spans="1:34" x14ac:dyDescent="0.3">
      <c r="A107" s="223"/>
      <c r="B107" s="4" t="str">
        <f t="shared" ref="B107:J107" si="97">+B78</f>
        <v>ORTO</v>
      </c>
      <c r="C107" s="4" t="str">
        <f t="shared" si="97"/>
        <v>Caraffa colonna twist2</v>
      </c>
      <c r="D107" s="5">
        <f t="shared" si="97"/>
        <v>2</v>
      </c>
      <c r="E107" s="5">
        <f t="shared" si="97"/>
        <v>1</v>
      </c>
      <c r="F107" s="5">
        <f t="shared" si="97"/>
        <v>1.45</v>
      </c>
      <c r="G107" s="5">
        <f t="shared" si="97"/>
        <v>105</v>
      </c>
      <c r="H107" s="4">
        <f t="shared" si="97"/>
        <v>3.4271101000000001E-4</v>
      </c>
      <c r="I107" s="6">
        <f t="shared" si="97"/>
        <v>0.95197502777777776</v>
      </c>
      <c r="J107" s="6">
        <f t="shared" si="97"/>
        <v>0.85677752500000004</v>
      </c>
      <c r="R107" s="5">
        <f>+'Project Orto'!R61</f>
        <v>2</v>
      </c>
      <c r="S107" s="6">
        <f>+'Project Orto'!S61</f>
        <v>210</v>
      </c>
      <c r="T107" s="6">
        <f>+'Project Orto'!T61</f>
        <v>1.9039500555555555</v>
      </c>
      <c r="U107" s="6">
        <f>+'Project Orto'!U61</f>
        <v>1.7135550500000001</v>
      </c>
      <c r="V107" s="81">
        <f>+'Project Orto'!V61</f>
        <v>1.7770448478691998</v>
      </c>
      <c r="W107" s="82">
        <f>+'Project Orto'!W61</f>
        <v>1.1633325234450001E-2</v>
      </c>
      <c r="X107" s="82">
        <f>+'Project Orto'!X61</f>
        <v>33.075000000000003</v>
      </c>
      <c r="Y107" s="82">
        <f>+'Project Orto'!Y61</f>
        <v>12.364864864864865</v>
      </c>
      <c r="Z107" s="82">
        <f>+'Project Orto'!Z61</f>
        <v>0.55768930550000007</v>
      </c>
      <c r="AA107" s="82">
        <f>+'Project Orto'!AA61</f>
        <v>0.22070835177953907</v>
      </c>
      <c r="AB107" s="82">
        <f>+'Project Orto'!AB61</f>
        <v>0</v>
      </c>
      <c r="AC107" s="83">
        <f t="shared" si="78"/>
        <v>48.006940695248055</v>
      </c>
      <c r="AD107" s="93">
        <f t="shared" si="79"/>
        <v>24.003470347624027</v>
      </c>
      <c r="AE107" s="93">
        <f t="shared" si="80"/>
        <v>30</v>
      </c>
      <c r="AF107" s="90">
        <f t="shared" si="81"/>
        <v>5.9965296523759726</v>
      </c>
      <c r="AG107" s="91">
        <f t="shared" si="82"/>
        <v>0.24981927885979771</v>
      </c>
      <c r="AH107" s="92">
        <f t="shared" si="83"/>
        <v>60</v>
      </c>
    </row>
    <row r="108" spans="1:34" x14ac:dyDescent="0.3">
      <c r="A108" s="223"/>
      <c r="B108" s="4" t="str">
        <f t="shared" ref="B108:J108" si="98">+B79</f>
        <v>ORTO</v>
      </c>
      <c r="C108" s="4" t="str">
        <f t="shared" si="98"/>
        <v>Caraffa colonna twist3</v>
      </c>
      <c r="D108" s="5">
        <f t="shared" si="98"/>
        <v>2</v>
      </c>
      <c r="E108" s="5">
        <f t="shared" si="98"/>
        <v>1</v>
      </c>
      <c r="F108" s="5">
        <f t="shared" si="98"/>
        <v>1.42</v>
      </c>
      <c r="G108" s="5">
        <f t="shared" si="98"/>
        <v>102</v>
      </c>
      <c r="H108" s="4">
        <f t="shared" si="98"/>
        <v>3.3727121999999998E-4</v>
      </c>
      <c r="I108" s="6">
        <f t="shared" si="98"/>
        <v>0.93686449999999988</v>
      </c>
      <c r="J108" s="6">
        <f t="shared" si="98"/>
        <v>0.8431780499999999</v>
      </c>
      <c r="R108" s="5">
        <f>+'Project Orto'!R62</f>
        <v>2</v>
      </c>
      <c r="S108" s="6">
        <f>+'Project Orto'!S62</f>
        <v>204</v>
      </c>
      <c r="T108" s="6">
        <f>+'Project Orto'!T62</f>
        <v>1.8737289999999998</v>
      </c>
      <c r="U108" s="6">
        <f>+'Project Orto'!U62</f>
        <v>1.6863560999999998</v>
      </c>
      <c r="V108" s="81">
        <f>+'Project Orto'!V62</f>
        <v>1.7262721379300801</v>
      </c>
      <c r="W108" s="82">
        <f>+'Project Orto'!W62</f>
        <v>1.1448671562899998E-2</v>
      </c>
      <c r="X108" s="82">
        <f>+'Project Orto'!X62</f>
        <v>32.130000000000003</v>
      </c>
      <c r="Y108" s="82">
        <f>+'Project Orto'!Y62</f>
        <v>12.011583011583012</v>
      </c>
      <c r="Z108" s="82">
        <f>+'Project Orto'!Z62</f>
        <v>0.5417553253428572</v>
      </c>
      <c r="AA108" s="82">
        <f>+'Project Orto'!AA62</f>
        <v>0.21720508795114082</v>
      </c>
      <c r="AB108" s="82">
        <f>+'Project Orto'!AB62</f>
        <v>0</v>
      </c>
      <c r="AC108" s="83">
        <f t="shared" si="78"/>
        <v>46.638264234369991</v>
      </c>
      <c r="AD108" s="93">
        <f t="shared" si="79"/>
        <v>23.319132117184996</v>
      </c>
      <c r="AE108" s="93">
        <f t="shared" si="80"/>
        <v>30</v>
      </c>
      <c r="AF108" s="90">
        <f t="shared" si="81"/>
        <v>6.6808678828150043</v>
      </c>
      <c r="AG108" s="91">
        <f t="shared" si="82"/>
        <v>0.28649727825383131</v>
      </c>
      <c r="AH108" s="92">
        <f t="shared" si="83"/>
        <v>60</v>
      </c>
    </row>
    <row r="109" spans="1:34" x14ac:dyDescent="0.3">
      <c r="A109" s="223"/>
      <c r="B109" s="4" t="str">
        <f t="shared" ref="B109:J109" si="99">+B80</f>
        <v>ORTO</v>
      </c>
      <c r="C109" s="4" t="str">
        <f t="shared" si="99"/>
        <v>Bicchiere colonna twist1</v>
      </c>
      <c r="D109" s="5">
        <f t="shared" si="99"/>
        <v>1</v>
      </c>
      <c r="E109" s="5">
        <f t="shared" si="99"/>
        <v>1</v>
      </c>
      <c r="F109" s="5">
        <f t="shared" si="99"/>
        <v>0.57999999999999996</v>
      </c>
      <c r="G109" s="5">
        <f t="shared" si="99"/>
        <v>58</v>
      </c>
      <c r="H109" s="4">
        <f t="shared" si="99"/>
        <v>9.7981700000000004E-5</v>
      </c>
      <c r="I109" s="6">
        <f t="shared" si="99"/>
        <v>0.27217138888888892</v>
      </c>
      <c r="J109" s="6">
        <f t="shared" si="99"/>
        <v>0.24495425000000001</v>
      </c>
      <c r="R109" s="5">
        <f>+'Project Orto'!R63</f>
        <v>12</v>
      </c>
      <c r="S109" s="6">
        <f>+'Project Orto'!S63</f>
        <v>696</v>
      </c>
      <c r="T109" s="6">
        <f>+'Project Orto'!T63</f>
        <v>3.2660566666666671</v>
      </c>
      <c r="U109" s="6">
        <f>+'Project Orto'!U63</f>
        <v>2.939451</v>
      </c>
      <c r="V109" s="81">
        <f>+'Project Orto'!V63</f>
        <v>5.8896343529379198</v>
      </c>
      <c r="W109" s="82">
        <f>+'Project Orto'!W63</f>
        <v>1.9955932839000001E-2</v>
      </c>
      <c r="X109" s="82">
        <f>+'Project Orto'!X63</f>
        <v>109.62000000000002</v>
      </c>
      <c r="Y109" s="82">
        <f>+'Project Orto'!Y63</f>
        <v>40.980694980694977</v>
      </c>
      <c r="Z109" s="82">
        <f>+'Project Orto'!Z63</f>
        <v>1.8483416982285714</v>
      </c>
      <c r="AA109" s="82">
        <f>+'Project Orto'!AA63</f>
        <v>0.37860551100865886</v>
      </c>
      <c r="AB109" s="82">
        <f>+'Project Orto'!AB63</f>
        <v>0</v>
      </c>
      <c r="AC109" s="83">
        <f t="shared" si="78"/>
        <v>158.73723247570913</v>
      </c>
      <c r="AD109" s="93">
        <f t="shared" si="79"/>
        <v>13.228102706309095</v>
      </c>
      <c r="AE109" s="93">
        <f t="shared" si="80"/>
        <v>15</v>
      </c>
      <c r="AF109" s="90">
        <f t="shared" si="81"/>
        <v>1.7718972936909054</v>
      </c>
      <c r="AG109" s="91">
        <f t="shared" si="82"/>
        <v>0.13394946599906618</v>
      </c>
      <c r="AH109" s="92">
        <f t="shared" si="83"/>
        <v>180</v>
      </c>
    </row>
    <row r="110" spans="1:34" x14ac:dyDescent="0.3">
      <c r="A110" s="223"/>
      <c r="B110" s="4" t="str">
        <f t="shared" ref="B110:J110" si="100">+B81</f>
        <v>ORTO</v>
      </c>
      <c r="C110" s="4" t="str">
        <f t="shared" si="100"/>
        <v>Bicchiere colonna twist2</v>
      </c>
      <c r="D110" s="5">
        <f t="shared" si="100"/>
        <v>1</v>
      </c>
      <c r="E110" s="5">
        <f t="shared" si="100"/>
        <v>1</v>
      </c>
      <c r="F110" s="5">
        <f t="shared" si="100"/>
        <v>0.59</v>
      </c>
      <c r="G110" s="5">
        <f t="shared" si="100"/>
        <v>59</v>
      </c>
      <c r="H110" s="4">
        <f t="shared" si="100"/>
        <v>9.7982366999999995E-5</v>
      </c>
      <c r="I110" s="6">
        <f t="shared" si="100"/>
        <v>0.27217324166666662</v>
      </c>
      <c r="J110" s="6">
        <f t="shared" si="100"/>
        <v>0.24495591749999998</v>
      </c>
      <c r="R110" s="5">
        <f>+'Project Orto'!R64</f>
        <v>12</v>
      </c>
      <c r="S110" s="6">
        <f>+'Project Orto'!S64</f>
        <v>708</v>
      </c>
      <c r="T110" s="6">
        <f>+'Project Orto'!T64</f>
        <v>3.2660788999999992</v>
      </c>
      <c r="U110" s="6">
        <f>+'Project Orto'!U64</f>
        <v>2.9394710099999997</v>
      </c>
      <c r="V110" s="81">
        <f>+'Project Orto'!V64</f>
        <v>5.9911797728161593</v>
      </c>
      <c r="W110" s="82">
        <f>+'Project Orto'!W64</f>
        <v>1.9956068686889997E-2</v>
      </c>
      <c r="X110" s="82">
        <f>+'Project Orto'!X64</f>
        <v>111.51000000000002</v>
      </c>
      <c r="Y110" s="82">
        <f>+'Project Orto'!Y64</f>
        <v>41.687258687258691</v>
      </c>
      <c r="Z110" s="82">
        <f>+'Project Orto'!Z64</f>
        <v>1.8802096585428572</v>
      </c>
      <c r="AA110" s="82">
        <f>+'Project Orto'!AA64</f>
        <v>0.37860808832540094</v>
      </c>
      <c r="AB110" s="82">
        <f>+'Project Orto'!AB64</f>
        <v>0</v>
      </c>
      <c r="AC110" s="83">
        <f t="shared" si="78"/>
        <v>161.46721227563</v>
      </c>
      <c r="AD110" s="93">
        <f t="shared" si="79"/>
        <v>13.455601022969168</v>
      </c>
      <c r="AE110" s="93">
        <f t="shared" si="80"/>
        <v>15</v>
      </c>
      <c r="AF110" s="90">
        <f t="shared" si="81"/>
        <v>1.5443989770308324</v>
      </c>
      <c r="AG110" s="91">
        <f t="shared" si="82"/>
        <v>0.11477740566136667</v>
      </c>
      <c r="AH110" s="92">
        <f t="shared" si="83"/>
        <v>180</v>
      </c>
    </row>
    <row r="111" spans="1:34" x14ac:dyDescent="0.3">
      <c r="A111" s="223"/>
      <c r="B111" s="4" t="str">
        <f t="shared" ref="B111:J111" si="101">+B82</f>
        <v>ORTO</v>
      </c>
      <c r="C111" s="4" t="str">
        <f t="shared" si="101"/>
        <v>Bicchiere colonna twist3</v>
      </c>
      <c r="D111" s="5">
        <f t="shared" si="101"/>
        <v>1</v>
      </c>
      <c r="E111" s="5">
        <f t="shared" si="101"/>
        <v>1</v>
      </c>
      <c r="F111" s="5">
        <f t="shared" si="101"/>
        <v>0.59</v>
      </c>
      <c r="G111" s="5">
        <f t="shared" si="101"/>
        <v>59</v>
      </c>
      <c r="H111" s="4">
        <f t="shared" si="101"/>
        <v>9.7984652999999995E-5</v>
      </c>
      <c r="I111" s="6">
        <f t="shared" si="101"/>
        <v>0.27217959166666666</v>
      </c>
      <c r="J111" s="6">
        <f t="shared" si="101"/>
        <v>0.2449616325</v>
      </c>
      <c r="R111" s="5">
        <f>+'Project Orto'!R65</f>
        <v>12</v>
      </c>
      <c r="S111" s="6">
        <f>+'Project Orto'!S65</f>
        <v>708</v>
      </c>
      <c r="T111" s="6">
        <f>+'Project Orto'!T65</f>
        <v>3.2661550999999998</v>
      </c>
      <c r="U111" s="6">
        <f>+'Project Orto'!U65</f>
        <v>2.9395395899999999</v>
      </c>
      <c r="V111" s="81">
        <f>+'Project Orto'!V65</f>
        <v>5.9911797728161593</v>
      </c>
      <c r="W111" s="82">
        <f>+'Project Orto'!W65</f>
        <v>1.995653427651E-2</v>
      </c>
      <c r="X111" s="82">
        <f>+'Project Orto'!X65</f>
        <v>111.51000000000002</v>
      </c>
      <c r="Y111" s="82">
        <f>+'Project Orto'!Y65</f>
        <v>41.687258687258691</v>
      </c>
      <c r="Z111" s="82">
        <f>+'Project Orto'!Z65</f>
        <v>1.8802096585428572</v>
      </c>
      <c r="AA111" s="82">
        <f>+'Project Orto'!AA65</f>
        <v>0.37861692152790888</v>
      </c>
      <c r="AB111" s="82">
        <f>+'Project Orto'!AB65</f>
        <v>0</v>
      </c>
      <c r="AC111" s="83">
        <f t="shared" si="78"/>
        <v>161.46722157442215</v>
      </c>
      <c r="AD111" s="93">
        <f t="shared" si="79"/>
        <v>13.455601797868512</v>
      </c>
      <c r="AE111" s="93">
        <f t="shared" si="80"/>
        <v>15</v>
      </c>
      <c r="AF111" s="90">
        <f t="shared" si="81"/>
        <v>1.5443982021314877</v>
      </c>
      <c r="AG111" s="91">
        <f t="shared" si="82"/>
        <v>0.11477734146206187</v>
      </c>
      <c r="AH111" s="92">
        <f t="shared" si="83"/>
        <v>180</v>
      </c>
    </row>
    <row r="112" spans="1:34" x14ac:dyDescent="0.3">
      <c r="A112" s="223"/>
      <c r="B112" s="4" t="str">
        <f t="shared" ref="B112:J112" si="102">+B83</f>
        <v>ORTO</v>
      </c>
      <c r="C112" s="4" t="str">
        <f t="shared" si="102"/>
        <v>Bicchiere colonna twist alto</v>
      </c>
      <c r="D112" s="5">
        <f t="shared" si="102"/>
        <v>1</v>
      </c>
      <c r="E112" s="5">
        <f t="shared" si="102"/>
        <v>1</v>
      </c>
      <c r="F112" s="5">
        <f t="shared" si="102"/>
        <v>0.57999999999999996</v>
      </c>
      <c r="G112" s="5">
        <f t="shared" si="102"/>
        <v>58</v>
      </c>
      <c r="H112" s="4">
        <f t="shared" si="102"/>
        <v>9.4065272999999995E-5</v>
      </c>
      <c r="I112" s="6">
        <f t="shared" si="102"/>
        <v>0.26129242499999999</v>
      </c>
      <c r="J112" s="6">
        <f t="shared" si="102"/>
        <v>0.23516318249999998</v>
      </c>
      <c r="R112" s="5">
        <f>+'Project Orto'!R66</f>
        <v>12</v>
      </c>
      <c r="S112" s="6">
        <f>+'Project Orto'!S66</f>
        <v>696</v>
      </c>
      <c r="T112" s="6">
        <f>+'Project Orto'!T66</f>
        <v>3.1355091000000002</v>
      </c>
      <c r="U112" s="6">
        <f>+'Project Orto'!U66</f>
        <v>2.8219581899999997</v>
      </c>
      <c r="V112" s="81">
        <f>+'Project Orto'!V66</f>
        <v>5.8896343529379198</v>
      </c>
      <c r="W112" s="82">
        <f>+'Project Orto'!W66</f>
        <v>1.9158274151909998E-2</v>
      </c>
      <c r="X112" s="82">
        <f>+'Project Orto'!X66</f>
        <v>109.62000000000002</v>
      </c>
      <c r="Y112" s="82">
        <f>+'Project Orto'!Y66</f>
        <v>40.980694980694977</v>
      </c>
      <c r="Z112" s="82">
        <f>+'Project Orto'!Z66</f>
        <v>1.8483416982285714</v>
      </c>
      <c r="AA112" s="82">
        <f>+'Project Orto'!AA66</f>
        <v>0.36347226831473628</v>
      </c>
      <c r="AB112" s="82">
        <f>+'Project Orto'!AB66</f>
        <v>0</v>
      </c>
      <c r="AC112" s="83">
        <f t="shared" si="78"/>
        <v>158.72130157432812</v>
      </c>
      <c r="AD112" s="93">
        <f t="shared" si="79"/>
        <v>13.22677513119401</v>
      </c>
      <c r="AE112" s="93">
        <f t="shared" si="80"/>
        <v>15</v>
      </c>
      <c r="AF112" s="90">
        <f t="shared" si="81"/>
        <v>1.7732248688059897</v>
      </c>
      <c r="AG112" s="91">
        <f t="shared" si="82"/>
        <v>0.13406328082376015</v>
      </c>
      <c r="AH112" s="92">
        <f t="shared" si="83"/>
        <v>180</v>
      </c>
    </row>
    <row r="113" spans="1:35" x14ac:dyDescent="0.3">
      <c r="A113" s="223"/>
      <c r="B113" s="4" t="str">
        <f t="shared" ref="B113:J113" si="103">+B84</f>
        <v>LA GALLINA</v>
      </c>
      <c r="C113" s="4" t="str">
        <f t="shared" si="103"/>
        <v>Oliera1</v>
      </c>
      <c r="D113" s="5">
        <f t="shared" si="103"/>
        <v>2</v>
      </c>
      <c r="E113" s="5">
        <f t="shared" si="103"/>
        <v>1</v>
      </c>
      <c r="F113" s="5">
        <f t="shared" si="103"/>
        <v>0.54</v>
      </c>
      <c r="G113" s="5">
        <f t="shared" si="103"/>
        <v>54</v>
      </c>
      <c r="H113" s="4">
        <f t="shared" si="103"/>
        <v>1.830542E-4</v>
      </c>
      <c r="I113" s="6">
        <f t="shared" si="103"/>
        <v>0.50848388888888885</v>
      </c>
      <c r="J113" s="6">
        <f t="shared" si="103"/>
        <v>0.45763549999999997</v>
      </c>
      <c r="R113" s="5">
        <f>+'Project La Gallina'!R29</f>
        <v>10</v>
      </c>
      <c r="S113" s="6">
        <f>+'Project La Gallina'!S29</f>
        <v>540</v>
      </c>
      <c r="T113" s="6">
        <f>+'Project La Gallina'!T29</f>
        <v>5.0848388888888882</v>
      </c>
      <c r="U113" s="6">
        <f>+'Project La Gallina'!U29</f>
        <v>4.5763549999999995</v>
      </c>
      <c r="V113" s="81">
        <f>+'Project La Gallina'!V29</f>
        <v>4.5695438945208</v>
      </c>
      <c r="W113" s="82">
        <f>+'Project La Gallina'!W29</f>
        <v>3.1068874094999997E-2</v>
      </c>
      <c r="X113" s="82">
        <f>+'Project La Gallina'!X29</f>
        <v>85.050000000000011</v>
      </c>
      <c r="Y113" s="82">
        <f>+'Project La Gallina'!Y29</f>
        <v>31.795366795366796</v>
      </c>
      <c r="Z113" s="82">
        <f>+'Project La Gallina'!Z29</f>
        <v>1.2857142857142856</v>
      </c>
      <c r="AA113" s="82">
        <f>+'Project La Gallina'!AA29</f>
        <v>0.5894410974471187</v>
      </c>
      <c r="AB113" s="82">
        <f>+'Project La Gallina'!AB29</f>
        <v>0</v>
      </c>
      <c r="AC113" s="83">
        <f t="shared" si="78"/>
        <v>123.32113494714402</v>
      </c>
      <c r="AD113" s="93">
        <f t="shared" si="79"/>
        <v>12.332113494714402</v>
      </c>
      <c r="AE113" s="93">
        <f t="shared" si="80"/>
        <v>20</v>
      </c>
      <c r="AF113" s="90">
        <f t="shared" si="81"/>
        <v>7.6678865052855976</v>
      </c>
      <c r="AG113" s="91">
        <f t="shared" si="82"/>
        <v>0.62178202532534976</v>
      </c>
      <c r="AH113" s="92">
        <f t="shared" si="83"/>
        <v>200</v>
      </c>
    </row>
    <row r="114" spans="1:35" ht="15" thickBot="1" x14ac:dyDescent="0.35">
      <c r="A114" s="224"/>
      <c r="B114" s="4" t="str">
        <f t="shared" ref="B114:J114" si="104">+B85</f>
        <v>LA GALLINA</v>
      </c>
      <c r="C114" s="4" t="str">
        <f t="shared" si="104"/>
        <v>Piatto spirale</v>
      </c>
      <c r="D114" s="5">
        <f t="shared" si="104"/>
        <v>4</v>
      </c>
      <c r="E114" s="5">
        <f t="shared" si="104"/>
        <v>5</v>
      </c>
      <c r="F114" s="5">
        <f t="shared" si="104"/>
        <v>0.25</v>
      </c>
      <c r="G114" s="5">
        <f t="shared" si="104"/>
        <v>25</v>
      </c>
      <c r="H114" s="4">
        <f t="shared" si="104"/>
        <v>1.575448E-4</v>
      </c>
      <c r="I114" s="6">
        <f t="shared" si="104"/>
        <v>0.43762444444444443</v>
      </c>
      <c r="J114" s="6">
        <f t="shared" si="104"/>
        <v>0.39386199999999999</v>
      </c>
      <c r="R114" s="5">
        <f>+'Project La Gallina'!R30</f>
        <v>10</v>
      </c>
      <c r="S114" s="6">
        <f>+'Project La Gallina'!S30</f>
        <v>250</v>
      </c>
      <c r="T114" s="6">
        <f>+'Project La Gallina'!T30</f>
        <v>4.3762444444444446</v>
      </c>
      <c r="U114" s="6">
        <f>+'Project La Gallina'!U30</f>
        <v>3.9386199999999998</v>
      </c>
      <c r="V114" s="84">
        <f>+'Project La Gallina'!V30</f>
        <v>2.1155295807966668</v>
      </c>
      <c r="W114" s="85">
        <f>+'Project La Gallina'!W30</f>
        <v>2.6739291179999999E-2</v>
      </c>
      <c r="X114" s="85">
        <f>+'Project La Gallina'!X30</f>
        <v>39.375000000000007</v>
      </c>
      <c r="Y114" s="85">
        <f>+'Project La Gallina'!Y30</f>
        <v>14.72007722007722</v>
      </c>
      <c r="Z114" s="85">
        <f>+'Project La Gallina'!Z30</f>
        <v>0.59523809523809523</v>
      </c>
      <c r="AA114" s="85">
        <f>+'Project La Gallina'!AA30</f>
        <v>0.50729991340863434</v>
      </c>
      <c r="AB114" s="85">
        <f>+'Project La Gallina'!AB30</f>
        <v>0</v>
      </c>
      <c r="AC114" s="83">
        <f t="shared" si="78"/>
        <v>57.33988410070063</v>
      </c>
      <c r="AD114" s="93">
        <f t="shared" si="79"/>
        <v>5.7339884100700633</v>
      </c>
      <c r="AE114" s="93">
        <f t="shared" si="80"/>
        <v>15</v>
      </c>
      <c r="AF114" s="90">
        <f t="shared" si="81"/>
        <v>9.2660115899299367</v>
      </c>
      <c r="AG114" s="91">
        <f t="shared" si="82"/>
        <v>1.6159801742286248</v>
      </c>
      <c r="AH114" s="92">
        <f t="shared" si="83"/>
        <v>150</v>
      </c>
    </row>
    <row r="117" spans="1:35" ht="18.600000000000001" thickBot="1" x14ac:dyDescent="0.4">
      <c r="D117" s="237" t="s">
        <v>40</v>
      </c>
      <c r="E117" s="237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10" t="s">
        <v>32</v>
      </c>
      <c r="S117" s="87">
        <f>+S119/60/7</f>
        <v>20.461904761904758</v>
      </c>
      <c r="T117" s="88" t="s">
        <v>83</v>
      </c>
    </row>
    <row r="118" spans="1:35" x14ac:dyDescent="0.3">
      <c r="D118" s="236" t="s">
        <v>33</v>
      </c>
      <c r="E118" s="236"/>
      <c r="F118" s="236"/>
      <c r="G118" s="236"/>
      <c r="H118" s="236"/>
      <c r="I118" s="236"/>
      <c r="J118" s="236"/>
      <c r="M118" s="236" t="s">
        <v>36</v>
      </c>
      <c r="N118" s="236"/>
      <c r="O118" s="236"/>
      <c r="P118" s="236"/>
      <c r="Q118" s="236"/>
      <c r="V118" s="238" t="s">
        <v>135</v>
      </c>
      <c r="W118" s="239"/>
      <c r="X118" s="239"/>
      <c r="Y118" s="239"/>
      <c r="Z118" s="239"/>
      <c r="AA118" s="239"/>
      <c r="AB118" s="239"/>
      <c r="AC118" s="240"/>
    </row>
    <row r="119" spans="1:35" ht="18" x14ac:dyDescent="0.35">
      <c r="B119" s="178" t="s">
        <v>463</v>
      </c>
      <c r="F119" s="225" t="s">
        <v>44</v>
      </c>
      <c r="G119" s="225"/>
      <c r="I119" s="20">
        <f>SUBTOTAL(9,I121:I143)</f>
        <v>59.570075669444442</v>
      </c>
      <c r="J119" s="20">
        <f>SUBTOTAL(9,J121:J143)</f>
        <v>53.613068102499987</v>
      </c>
      <c r="K119" s="1">
        <f>+'Finished goods'!$I$3</f>
        <v>2500</v>
      </c>
      <c r="L119" s="1">
        <f>+'Finished goods'!$J$3</f>
        <v>0.9</v>
      </c>
      <c r="M119" s="15">
        <f>+'Finished goods'!$K$3</f>
        <v>0.50772709939119998</v>
      </c>
      <c r="N119" s="15">
        <f>+'Finished goods'!$L$3</f>
        <v>6.7889999999999999E-3</v>
      </c>
      <c r="O119" s="13">
        <f>+'Finished goods'!$M$3</f>
        <v>0.15750000000000003</v>
      </c>
      <c r="P119" s="46">
        <f>+'Finished goods'!$N$3</f>
        <v>5.8880308880308881E-2</v>
      </c>
      <c r="Q119" s="1"/>
      <c r="S119" s="17">
        <f>SUBTOTAL(9,S121:S143)</f>
        <v>8594</v>
      </c>
      <c r="T119" s="17">
        <f>SUBTOTAL(9,T121:T143)</f>
        <v>162.95047083611109</v>
      </c>
      <c r="U119" s="75">
        <f>SUBTOTAL(9,U121:U143)</f>
        <v>146.65542375250001</v>
      </c>
      <c r="V119" s="77">
        <f t="shared" ref="V119:AC119" si="105">SUBTOTAL(9,V121:V143)</f>
        <v>72.723444869466206</v>
      </c>
      <c r="W119" s="17">
        <f t="shared" si="105"/>
        <v>0.99564367185572245</v>
      </c>
      <c r="X119" s="17">
        <f t="shared" si="105"/>
        <v>1353.5550000000003</v>
      </c>
      <c r="Y119" s="17">
        <f t="shared" si="105"/>
        <v>506.01737451737455</v>
      </c>
      <c r="Z119" s="17">
        <f t="shared" si="105"/>
        <v>22.605749238676189</v>
      </c>
      <c r="AA119" s="17">
        <f t="shared" si="105"/>
        <v>18.889429234236815</v>
      </c>
      <c r="AB119" s="17">
        <f t="shared" si="105"/>
        <v>468</v>
      </c>
      <c r="AC119" s="78">
        <f t="shared" si="105"/>
        <v>2442.7866415316093</v>
      </c>
      <c r="AF119" s="225" t="s">
        <v>118</v>
      </c>
      <c r="AG119" s="225"/>
      <c r="AH119" s="108">
        <f t="shared" ref="AH119" si="106">SUBTOTAL(9,AH121:AH143)</f>
        <v>8320</v>
      </c>
      <c r="AI119" s="95"/>
    </row>
    <row r="120" spans="1:35" x14ac:dyDescent="0.3">
      <c r="A120" s="1" t="s">
        <v>145</v>
      </c>
      <c r="B120" s="1" t="s">
        <v>30</v>
      </c>
      <c r="C120" s="1" t="s">
        <v>0</v>
      </c>
      <c r="D120" s="1" t="s">
        <v>4</v>
      </c>
      <c r="E120" s="1" t="s">
        <v>5</v>
      </c>
      <c r="F120" s="1" t="s">
        <v>45</v>
      </c>
      <c r="G120" s="1" t="s">
        <v>57</v>
      </c>
      <c r="H120" s="1" t="s">
        <v>6</v>
      </c>
      <c r="I120" s="1" t="s">
        <v>2</v>
      </c>
      <c r="J120" s="1" t="s">
        <v>7</v>
      </c>
      <c r="K120" s="1" t="s">
        <v>31</v>
      </c>
      <c r="L120" s="1" t="s">
        <v>8</v>
      </c>
      <c r="M120" s="1" t="s">
        <v>34</v>
      </c>
      <c r="N120" s="1" t="s">
        <v>35</v>
      </c>
      <c r="O120" s="1" t="s">
        <v>37</v>
      </c>
      <c r="P120" s="1" t="s">
        <v>93</v>
      </c>
      <c r="Q120" s="1" t="s">
        <v>94</v>
      </c>
      <c r="R120" s="11" t="s">
        <v>39</v>
      </c>
      <c r="S120" s="2" t="s">
        <v>43</v>
      </c>
      <c r="T120" s="2" t="s">
        <v>2</v>
      </c>
      <c r="U120" s="76" t="s">
        <v>7</v>
      </c>
      <c r="V120" s="2" t="str">
        <f>+V91</f>
        <v>energia €/h</v>
      </c>
      <c r="W120" s="2" t="str">
        <f t="shared" ref="W120:AB120" si="107">+W91</f>
        <v>materiale €/Kg</v>
      </c>
      <c r="X120" s="2" t="str">
        <f t="shared" si="107"/>
        <v>mod</v>
      </c>
      <c r="Y120" s="2" t="str">
        <f t="shared" si="107"/>
        <v>ammort</v>
      </c>
      <c r="Z120" s="2" t="str">
        <f t="shared" si="107"/>
        <v>Accensione</v>
      </c>
      <c r="AA120" s="2" t="str">
        <f t="shared" si="107"/>
        <v>trasporto</v>
      </c>
      <c r="AB120" s="2" t="str">
        <f t="shared" si="107"/>
        <v>forniture</v>
      </c>
      <c r="AC120" s="80" t="s">
        <v>42</v>
      </c>
      <c r="AD120" s="53" t="s">
        <v>116</v>
      </c>
      <c r="AE120" s="1" t="s">
        <v>117</v>
      </c>
      <c r="AF120" s="1" t="s">
        <v>119</v>
      </c>
      <c r="AG120" s="1" t="s">
        <v>120</v>
      </c>
      <c r="AH120" s="1" t="s">
        <v>121</v>
      </c>
    </row>
    <row r="121" spans="1:35" ht="14.4" customHeight="1" x14ac:dyDescent="0.3">
      <c r="A121" s="222" t="s">
        <v>415</v>
      </c>
      <c r="B121" s="4" t="str">
        <f>+B92</f>
        <v>OSTELLIERE</v>
      </c>
      <c r="C121" s="4" t="str">
        <f>+C92</f>
        <v>Tavolo twist Logo</v>
      </c>
      <c r="D121" s="5">
        <f>+D92</f>
        <v>8</v>
      </c>
      <c r="E121" s="5">
        <f>+E92</f>
        <v>10</v>
      </c>
      <c r="F121" s="5">
        <f>+F92</f>
        <v>1.22</v>
      </c>
      <c r="G121" s="5">
        <f t="shared" ref="G121:J121" si="108">+G92</f>
        <v>82</v>
      </c>
      <c r="H121" s="4">
        <f t="shared" si="108"/>
        <v>7.9769999999999997E-3</v>
      </c>
      <c r="I121" s="6">
        <f t="shared" si="108"/>
        <v>22.158333333333331</v>
      </c>
      <c r="J121" s="6">
        <f t="shared" si="108"/>
        <v>19.942499999999999</v>
      </c>
      <c r="R121" s="5">
        <f>+'Project Ostelliere'!R69</f>
        <v>2</v>
      </c>
      <c r="S121" s="6">
        <f>+'Project Ostelliere'!S69</f>
        <v>164</v>
      </c>
      <c r="T121" s="6">
        <f>+'Project Ostelliere'!T69</f>
        <v>44.316666666666663</v>
      </c>
      <c r="U121" s="6">
        <f>+'Project Ostelliere'!U69</f>
        <v>39.884999999999998</v>
      </c>
      <c r="V121" s="81">
        <f>+'Project Ostelliere'!V69</f>
        <v>1.3877874050026131</v>
      </c>
      <c r="W121" s="82">
        <f>+'Project Ostelliere'!W69</f>
        <v>0.27077926499999999</v>
      </c>
      <c r="X121" s="82">
        <f>+'Project Ostelliere'!X69</f>
        <v>25.830000000000005</v>
      </c>
      <c r="Y121" s="82">
        <f>+'Project Ostelliere'!Y69</f>
        <v>9.6563706563706564</v>
      </c>
      <c r="Z121" s="82">
        <f>+'Project Ostelliere'!Z69</f>
        <v>0.43552879096190478</v>
      </c>
      <c r="AA121" s="82">
        <f>+'Project Ostelliere'!AA69</f>
        <v>5.1372452905594805</v>
      </c>
      <c r="AB121" s="82">
        <f>+'Project Ostelliere'!AB69</f>
        <v>300</v>
      </c>
      <c r="AC121" s="83">
        <f>SUM(V121:AB121)</f>
        <v>342.71771140789463</v>
      </c>
      <c r="AD121" s="93">
        <f>+AC121/R121</f>
        <v>171.35885570394731</v>
      </c>
      <c r="AE121" s="93">
        <f>+AE92</f>
        <v>800</v>
      </c>
      <c r="AF121" s="90">
        <f>+AE121-AD121</f>
        <v>628.64114429605274</v>
      </c>
      <c r="AG121" s="91">
        <f>+AF121/AD121</f>
        <v>3.6685652557235873</v>
      </c>
      <c r="AH121" s="92">
        <f>+AE121*R121</f>
        <v>1600</v>
      </c>
    </row>
    <row r="122" spans="1:35" x14ac:dyDescent="0.3">
      <c r="A122" s="223"/>
      <c r="B122" s="4" t="str">
        <f t="shared" ref="B122:J122" si="109">+B93</f>
        <v>OSTELLIERE</v>
      </c>
      <c r="C122" s="4" t="str">
        <f t="shared" si="109"/>
        <v xml:space="preserve">Vaso bitorzolo curvo </v>
      </c>
      <c r="D122" s="5">
        <f t="shared" si="109"/>
        <v>4</v>
      </c>
      <c r="E122" s="5">
        <f t="shared" si="109"/>
        <v>2</v>
      </c>
      <c r="F122" s="5">
        <f t="shared" si="109"/>
        <v>5.21</v>
      </c>
      <c r="G122" s="5">
        <f t="shared" si="109"/>
        <v>321</v>
      </c>
      <c r="H122" s="4">
        <f t="shared" si="109"/>
        <v>6.0029599999999995E-4</v>
      </c>
      <c r="I122" s="6">
        <f t="shared" si="109"/>
        <v>1.6674888888888888</v>
      </c>
      <c r="J122" s="6">
        <f t="shared" si="109"/>
        <v>1.50074</v>
      </c>
      <c r="R122" s="5">
        <f>+'Project Ostelliere'!R70</f>
        <v>2</v>
      </c>
      <c r="S122" s="6">
        <f>+'Project Ostelliere'!S70</f>
        <v>642</v>
      </c>
      <c r="T122" s="6">
        <f>+'Project Ostelliere'!T70</f>
        <v>3.3349777777777776</v>
      </c>
      <c r="U122" s="6">
        <f>+'Project Ostelliere'!U70</f>
        <v>3.0014799999999999</v>
      </c>
      <c r="V122" s="81">
        <f>+'Project Ostelliere'!V70</f>
        <v>5.4326799634858398</v>
      </c>
      <c r="W122" s="82">
        <f>+'Project Ostelliere'!W70</f>
        <v>2.0377047719999999E-2</v>
      </c>
      <c r="X122" s="82">
        <f>+'Project Ostelliere'!X70</f>
        <v>101.11500000000002</v>
      </c>
      <c r="Y122" s="82">
        <f>+'Project Ostelliere'!Y70</f>
        <v>37.801158301158303</v>
      </c>
      <c r="Z122" s="82">
        <f>+'Project Ostelliere'!Z70</f>
        <v>1.7049358768142857</v>
      </c>
      <c r="AA122" s="82">
        <f>+'Project Ostelliere'!AA70</f>
        <v>0.38659493530671857</v>
      </c>
      <c r="AB122" s="82">
        <f>+'Project Ostelliere'!AB70</f>
        <v>0</v>
      </c>
      <c r="AC122" s="83">
        <f t="shared" ref="AC122:AC143" si="110">SUM(V122:AB122)</f>
        <v>146.46074612448518</v>
      </c>
      <c r="AD122" s="93">
        <f t="shared" ref="AD122:AD143" si="111">+AC122/R122</f>
        <v>73.230373062242592</v>
      </c>
      <c r="AE122" s="93">
        <f t="shared" ref="AE122:AE143" si="112">+AE93</f>
        <v>250</v>
      </c>
      <c r="AF122" s="90">
        <f t="shared" ref="AF122:AF143" si="113">+AE122-AD122</f>
        <v>176.76962693775741</v>
      </c>
      <c r="AG122" s="91">
        <f t="shared" ref="AG122:AG143" si="114">+AF122/AD122</f>
        <v>2.4138840148678611</v>
      </c>
      <c r="AH122" s="92">
        <f t="shared" ref="AH122:AH143" si="115">+AE122*R122</f>
        <v>500</v>
      </c>
    </row>
    <row r="123" spans="1:35" x14ac:dyDescent="0.3">
      <c r="A123" s="223"/>
      <c r="B123" s="4" t="str">
        <f t="shared" ref="B123:J123" si="116">+B94</f>
        <v>OSTELLIERE</v>
      </c>
      <c r="C123" s="4" t="str">
        <f t="shared" si="116"/>
        <v>Vaso bitorzolo twist</v>
      </c>
      <c r="D123" s="5">
        <f t="shared" si="116"/>
        <v>4</v>
      </c>
      <c r="E123" s="5">
        <f t="shared" si="116"/>
        <v>2</v>
      </c>
      <c r="F123" s="5">
        <f t="shared" si="116"/>
        <v>5.15</v>
      </c>
      <c r="G123" s="5">
        <f t="shared" si="116"/>
        <v>315</v>
      </c>
      <c r="H123" s="4">
        <f t="shared" si="116"/>
        <v>8.005105E-4</v>
      </c>
      <c r="I123" s="6">
        <f t="shared" si="116"/>
        <v>2.2236402777777777</v>
      </c>
      <c r="J123" s="6">
        <f t="shared" si="116"/>
        <v>2.0012762500000001</v>
      </c>
      <c r="R123" s="5">
        <f>+'Project Ostelliere'!R71</f>
        <v>2</v>
      </c>
      <c r="S123" s="6">
        <f>+'Project Ostelliere'!S71</f>
        <v>630</v>
      </c>
      <c r="T123" s="6">
        <f>+'Project Ostelliere'!T71</f>
        <v>4.4472805555555555</v>
      </c>
      <c r="U123" s="6">
        <f>+'Project Ostelliere'!U71</f>
        <v>4.0025525000000002</v>
      </c>
      <c r="V123" s="81">
        <f>+'Project Ostelliere'!V71</f>
        <v>5.3311345436076003</v>
      </c>
      <c r="W123" s="82">
        <f>+'Project Ostelliere'!W71</f>
        <v>2.71733289225E-2</v>
      </c>
      <c r="X123" s="82">
        <f>+'Project Ostelliere'!X71</f>
        <v>99.225000000000023</v>
      </c>
      <c r="Y123" s="82">
        <f>+'Project Ostelliere'!Y71</f>
        <v>37.094594594594597</v>
      </c>
      <c r="Z123" s="82">
        <f>+'Project Ostelliere'!Z71</f>
        <v>1.6730679165000002</v>
      </c>
      <c r="AA123" s="82">
        <f>+'Project Ostelliere'!AA71</f>
        <v>0.51553451124086935</v>
      </c>
      <c r="AB123" s="82">
        <f>+'Project Ostelliere'!AB71</f>
        <v>0</v>
      </c>
      <c r="AC123" s="83">
        <f t="shared" si="110"/>
        <v>143.86650489486561</v>
      </c>
      <c r="AD123" s="93">
        <f t="shared" si="111"/>
        <v>71.933252447432807</v>
      </c>
      <c r="AE123" s="93">
        <f t="shared" si="112"/>
        <v>250</v>
      </c>
      <c r="AF123" s="90">
        <f t="shared" si="113"/>
        <v>178.06674755256719</v>
      </c>
      <c r="AG123" s="91">
        <f t="shared" si="114"/>
        <v>2.475444130413738</v>
      </c>
      <c r="AH123" s="92">
        <f t="shared" si="115"/>
        <v>500</v>
      </c>
    </row>
    <row r="124" spans="1:35" x14ac:dyDescent="0.3">
      <c r="A124" s="223"/>
      <c r="B124" s="4" t="str">
        <f t="shared" ref="B124:J124" si="117">+B95</f>
        <v>OSTELLIERE</v>
      </c>
      <c r="C124" s="4" t="str">
        <f t="shared" si="117"/>
        <v>Vaso bitorzolo dritto</v>
      </c>
      <c r="D124" s="5">
        <f t="shared" si="117"/>
        <v>4</v>
      </c>
      <c r="E124" s="5">
        <f t="shared" si="117"/>
        <v>2</v>
      </c>
      <c r="F124" s="5">
        <f t="shared" si="117"/>
        <v>4.4800000000000004</v>
      </c>
      <c r="G124" s="5">
        <f t="shared" si="117"/>
        <v>288</v>
      </c>
      <c r="H124" s="4">
        <f t="shared" si="117"/>
        <v>8.2321687099999998E-4</v>
      </c>
      <c r="I124" s="6">
        <f t="shared" si="117"/>
        <v>2.2867135305555553</v>
      </c>
      <c r="J124" s="6">
        <f t="shared" si="117"/>
        <v>2.0580421775</v>
      </c>
      <c r="R124" s="5">
        <f>+'Project Ostelliere'!R72</f>
        <v>2</v>
      </c>
      <c r="S124" s="6">
        <f>+'Project Ostelliere'!S72</f>
        <v>576</v>
      </c>
      <c r="T124" s="6">
        <f>+'Project Ostelliere'!T72</f>
        <v>4.5734270611111105</v>
      </c>
      <c r="U124" s="6">
        <f>+'Project Ostelliere'!U72</f>
        <v>4.1160843549999999</v>
      </c>
      <c r="V124" s="81">
        <f>+'Project Ostelliere'!V72</f>
        <v>4.8741801541555203</v>
      </c>
      <c r="W124" s="82">
        <f>+'Project Ostelliere'!W72</f>
        <v>2.7944096686094998E-2</v>
      </c>
      <c r="X124" s="82">
        <f>+'Project Ostelliere'!X72</f>
        <v>90.720000000000013</v>
      </c>
      <c r="Y124" s="82">
        <f>+'Project Ostelliere'!Y72</f>
        <v>33.915057915057915</v>
      </c>
      <c r="Z124" s="82">
        <f>+'Project Ostelliere'!Z72</f>
        <v>1.5296620950857143</v>
      </c>
      <c r="AA124" s="82">
        <f>+'Project Ostelliere'!AA72</f>
        <v>0.53015757724130141</v>
      </c>
      <c r="AB124" s="82">
        <f>+'Project Ostelliere'!AB72</f>
        <v>0</v>
      </c>
      <c r="AC124" s="83">
        <f t="shared" si="110"/>
        <v>131.59700183822656</v>
      </c>
      <c r="AD124" s="93">
        <f t="shared" si="111"/>
        <v>65.79850091911328</v>
      </c>
      <c r="AE124" s="93">
        <f t="shared" si="112"/>
        <v>250</v>
      </c>
      <c r="AF124" s="90">
        <f t="shared" si="113"/>
        <v>184.20149908088672</v>
      </c>
      <c r="AG124" s="91">
        <f t="shared" si="114"/>
        <v>2.7994786584473612</v>
      </c>
      <c r="AH124" s="92">
        <f t="shared" si="115"/>
        <v>500</v>
      </c>
    </row>
    <row r="125" spans="1:35" x14ac:dyDescent="0.3">
      <c r="A125" s="223"/>
      <c r="B125" s="4" t="str">
        <f t="shared" ref="B125:J125" si="118">+B96</f>
        <v>OSTELLIERE</v>
      </c>
      <c r="C125" s="4" t="str">
        <f t="shared" si="118"/>
        <v>Porta riviste</v>
      </c>
      <c r="D125" s="5">
        <f t="shared" si="118"/>
        <v>10</v>
      </c>
      <c r="E125" s="5">
        <f t="shared" si="118"/>
        <v>10</v>
      </c>
      <c r="F125" s="5">
        <f t="shared" si="118"/>
        <v>0.42</v>
      </c>
      <c r="G125" s="5">
        <f t="shared" si="118"/>
        <v>42</v>
      </c>
      <c r="H125" s="4">
        <f t="shared" si="118"/>
        <v>3.5606798E-3</v>
      </c>
      <c r="I125" s="6">
        <f t="shared" si="118"/>
        <v>9.890777222222221</v>
      </c>
      <c r="J125" s="6">
        <f t="shared" si="118"/>
        <v>8.9016994999999994</v>
      </c>
      <c r="R125" s="5">
        <f>+'Project Ostelliere'!R73</f>
        <v>2</v>
      </c>
      <c r="S125" s="6">
        <f>+'Project Ostelliere'!S73</f>
        <v>84</v>
      </c>
      <c r="T125" s="6">
        <f>+'Project Ostelliere'!T73</f>
        <v>19.781554444444442</v>
      </c>
      <c r="U125" s="6">
        <f>+'Project Ostelliere'!U73</f>
        <v>17.803398999999999</v>
      </c>
      <c r="V125" s="81">
        <f>+'Project Ostelliere'!V73</f>
        <v>0.71081793914767988</v>
      </c>
      <c r="W125" s="82">
        <f>+'Project Ostelliere'!W73</f>
        <v>0.12086727581099999</v>
      </c>
      <c r="X125" s="82">
        <f>+'Project Ostelliere'!X73</f>
        <v>13.230000000000002</v>
      </c>
      <c r="Y125" s="82">
        <f>+'Project Ostelliere'!Y73</f>
        <v>4.9459459459459456</v>
      </c>
      <c r="Z125" s="82">
        <f>+'Project Ostelliere'!Z73</f>
        <v>0.22307572219999999</v>
      </c>
      <c r="AA125" s="82">
        <f>+'Project Ostelliere'!AA73</f>
        <v>2.2931033638887142</v>
      </c>
      <c r="AB125" s="82">
        <f>+'Project Ostelliere'!AB73</f>
        <v>0</v>
      </c>
      <c r="AC125" s="83">
        <f t="shared" si="110"/>
        <v>21.523810246993346</v>
      </c>
      <c r="AD125" s="93">
        <f t="shared" si="111"/>
        <v>10.761905123496673</v>
      </c>
      <c r="AE125" s="93">
        <f t="shared" si="112"/>
        <v>130</v>
      </c>
      <c r="AF125" s="90">
        <f t="shared" si="113"/>
        <v>119.23809487650333</v>
      </c>
      <c r="AG125" s="91">
        <f t="shared" si="114"/>
        <v>11.079645611832103</v>
      </c>
      <c r="AH125" s="92">
        <f t="shared" si="115"/>
        <v>260</v>
      </c>
    </row>
    <row r="126" spans="1:35" x14ac:dyDescent="0.3">
      <c r="A126" s="223"/>
      <c r="B126" s="4" t="str">
        <f t="shared" ref="B126:J126" si="119">+B97</f>
        <v>OSTELLIERE</v>
      </c>
      <c r="C126" s="4" t="str">
        <f t="shared" si="119"/>
        <v>Lampada 90 grossa</v>
      </c>
      <c r="D126" s="5">
        <f t="shared" si="119"/>
        <v>8</v>
      </c>
      <c r="E126" s="5">
        <f t="shared" si="119"/>
        <v>10</v>
      </c>
      <c r="F126" s="5">
        <f t="shared" si="119"/>
        <v>1.39</v>
      </c>
      <c r="G126" s="5">
        <f t="shared" si="119"/>
        <v>99</v>
      </c>
      <c r="H126" s="4">
        <f t="shared" si="119"/>
        <v>1.7366300000000001E-3</v>
      </c>
      <c r="I126" s="6">
        <f t="shared" si="119"/>
        <v>4.8239722222222232</v>
      </c>
      <c r="J126" s="6">
        <f t="shared" si="119"/>
        <v>4.3415750000000006</v>
      </c>
      <c r="R126" s="5">
        <f>+'Project Ostelliere'!R74</f>
        <v>1</v>
      </c>
      <c r="S126" s="6">
        <f>+'Project Ostelliere'!S74</f>
        <v>99</v>
      </c>
      <c r="T126" s="6">
        <f>+'Project Ostelliere'!T74</f>
        <v>4.8239722222222232</v>
      </c>
      <c r="U126" s="6">
        <f>+'Project Ostelliere'!U74</f>
        <v>4.3415750000000006</v>
      </c>
      <c r="V126" s="81">
        <f>+'Project Ostelliere'!V74</f>
        <v>0.83774971399547993</v>
      </c>
      <c r="W126" s="82">
        <f>+'Project Ostelliere'!W74</f>
        <v>2.9474952675000003E-2</v>
      </c>
      <c r="X126" s="82">
        <f>+'Project Ostelliere'!X74</f>
        <v>15.592500000000003</v>
      </c>
      <c r="Y126" s="82">
        <f>+'Project Ostelliere'!Y74</f>
        <v>5.8291505791505793</v>
      </c>
      <c r="Z126" s="82">
        <f>+'Project Ostelliere'!Z74</f>
        <v>0.26291067259285716</v>
      </c>
      <c r="AA126" s="82">
        <f>+'Project Ostelliere'!AA74</f>
        <v>0.55920109621062508</v>
      </c>
      <c r="AB126" s="82">
        <f>+'Project Ostelliere'!AB74</f>
        <v>24</v>
      </c>
      <c r="AC126" s="83">
        <f t="shared" si="110"/>
        <v>47.110987014624541</v>
      </c>
      <c r="AD126" s="93">
        <f t="shared" si="111"/>
        <v>47.110987014624541</v>
      </c>
      <c r="AE126" s="93">
        <f t="shared" si="112"/>
        <v>400</v>
      </c>
      <c r="AF126" s="90">
        <f t="shared" si="113"/>
        <v>352.88901298537547</v>
      </c>
      <c r="AG126" s="91">
        <f t="shared" si="114"/>
        <v>7.4905884029945931</v>
      </c>
      <c r="AH126" s="92">
        <f t="shared" si="115"/>
        <v>400</v>
      </c>
    </row>
    <row r="127" spans="1:35" x14ac:dyDescent="0.3">
      <c r="A127" s="223"/>
      <c r="B127" s="4" t="str">
        <f t="shared" ref="B127:J127" si="120">+B98</f>
        <v>OSTELLIERE</v>
      </c>
      <c r="C127" s="4" t="str">
        <f t="shared" si="120"/>
        <v>Lampada 90 piccola</v>
      </c>
      <c r="D127" s="5">
        <f t="shared" si="120"/>
        <v>5</v>
      </c>
      <c r="E127" s="5">
        <f t="shared" si="120"/>
        <v>10</v>
      </c>
      <c r="F127" s="5">
        <f t="shared" si="120"/>
        <v>1.1499999999999999</v>
      </c>
      <c r="G127" s="5">
        <f t="shared" si="120"/>
        <v>75</v>
      </c>
      <c r="H127" s="4">
        <f t="shared" si="120"/>
        <v>8.1557296000000004E-4</v>
      </c>
      <c r="I127" s="6">
        <f t="shared" si="120"/>
        <v>2.2654804444444445</v>
      </c>
      <c r="J127" s="6">
        <f t="shared" si="120"/>
        <v>2.0389324000000002</v>
      </c>
      <c r="R127" s="5">
        <f>+'Project Ostelliere'!R75</f>
        <v>6</v>
      </c>
      <c r="S127" s="6">
        <f>+'Project Ostelliere'!S75</f>
        <v>450</v>
      </c>
      <c r="T127" s="6">
        <f>+'Project Ostelliere'!T75</f>
        <v>13.592882666666668</v>
      </c>
      <c r="U127" s="6">
        <f>+'Project Ostelliere'!U75</f>
        <v>12.233594400000001</v>
      </c>
      <c r="V127" s="81">
        <f>+'Project Ostelliere'!V75</f>
        <v>3.8079532454339997</v>
      </c>
      <c r="W127" s="82">
        <f>+'Project Ostelliere'!W75</f>
        <v>8.3053872381600002E-2</v>
      </c>
      <c r="X127" s="82">
        <f>+'Project Ostelliere'!X75</f>
        <v>70.875000000000014</v>
      </c>
      <c r="Y127" s="82">
        <f>+'Project Ostelliere'!Y75</f>
        <v>26.496138996138995</v>
      </c>
      <c r="Z127" s="82">
        <f>+'Project Ostelliere'!Z75</f>
        <v>1.1950485117857144</v>
      </c>
      <c r="AA127" s="82">
        <f>+'Project Ostelliere'!AA75</f>
        <v>1.5757045309769298</v>
      </c>
      <c r="AB127" s="82">
        <f>+'Project Ostelliere'!AB75</f>
        <v>144</v>
      </c>
      <c r="AC127" s="83">
        <f t="shared" si="110"/>
        <v>248.03289915671726</v>
      </c>
      <c r="AD127" s="93">
        <f t="shared" si="111"/>
        <v>41.338816526119544</v>
      </c>
      <c r="AE127" s="93">
        <f t="shared" si="112"/>
        <v>200</v>
      </c>
      <c r="AF127" s="90">
        <f t="shared" si="113"/>
        <v>158.66118347388044</v>
      </c>
      <c r="AG127" s="91">
        <f t="shared" si="114"/>
        <v>3.8380678695441572</v>
      </c>
      <c r="AH127" s="92">
        <f t="shared" si="115"/>
        <v>1200</v>
      </c>
    </row>
    <row r="128" spans="1:35" x14ac:dyDescent="0.3">
      <c r="A128" s="223"/>
      <c r="B128" s="4" t="str">
        <f t="shared" ref="B128:J128" si="121">+B99</f>
        <v>OSTELLIERE</v>
      </c>
      <c r="C128" s="4" t="str">
        <f t="shared" si="121"/>
        <v>Vaso Logo</v>
      </c>
      <c r="D128" s="5">
        <f t="shared" si="121"/>
        <v>5</v>
      </c>
      <c r="E128" s="5">
        <f t="shared" si="121"/>
        <v>10</v>
      </c>
      <c r="F128" s="5">
        <f t="shared" si="121"/>
        <v>0.39</v>
      </c>
      <c r="G128" s="5">
        <f t="shared" si="121"/>
        <v>39</v>
      </c>
      <c r="H128" s="4">
        <f t="shared" si="121"/>
        <v>1.1639584900000001E-3</v>
      </c>
      <c r="I128" s="6">
        <f t="shared" si="121"/>
        <v>3.2332180277777778</v>
      </c>
      <c r="J128" s="6">
        <f t="shared" si="121"/>
        <v>2.9098962250000002</v>
      </c>
      <c r="R128" s="5">
        <f>+'Project Ostelliere'!R76</f>
        <v>3</v>
      </c>
      <c r="S128" s="6">
        <f>+'Project Ostelliere'!S76</f>
        <v>117</v>
      </c>
      <c r="T128" s="6">
        <f>+'Project Ostelliere'!T76</f>
        <v>9.6996540833333338</v>
      </c>
      <c r="U128" s="6">
        <f>+'Project Ostelliere'!U76</f>
        <v>8.7296886750000002</v>
      </c>
      <c r="V128" s="81">
        <f>+'Project Ostelliere'!V76</f>
        <v>0.99006784381283996</v>
      </c>
      <c r="W128" s="82">
        <f>+'Project Ostelliere'!W76</f>
        <v>5.9265856414574998E-2</v>
      </c>
      <c r="X128" s="82">
        <f>+'Project Ostelliere'!X76</f>
        <v>18.427500000000002</v>
      </c>
      <c r="Y128" s="82">
        <f>+'Project Ostelliere'!Y76</f>
        <v>6.8889961389961387</v>
      </c>
      <c r="Z128" s="82">
        <f>+'Project Ostelliere'!Z76</f>
        <v>0.31071261306428571</v>
      </c>
      <c r="AA128" s="82">
        <f>+'Project Ostelliere'!AA76</f>
        <v>1.1243964406091058</v>
      </c>
      <c r="AB128" s="82">
        <f>+'Project Ostelliere'!AB76</f>
        <v>0</v>
      </c>
      <c r="AC128" s="83">
        <f t="shared" si="110"/>
        <v>27.800938892896948</v>
      </c>
      <c r="AD128" s="93">
        <f t="shared" si="111"/>
        <v>9.2669796309656487</v>
      </c>
      <c r="AE128" s="93">
        <f t="shared" si="112"/>
        <v>310</v>
      </c>
      <c r="AF128" s="90">
        <f t="shared" si="113"/>
        <v>300.73302036903436</v>
      </c>
      <c r="AG128" s="91">
        <f t="shared" si="114"/>
        <v>32.452107627833108</v>
      </c>
      <c r="AH128" s="92">
        <f t="shared" si="115"/>
        <v>930</v>
      </c>
    </row>
    <row r="129" spans="1:34" x14ac:dyDescent="0.3">
      <c r="A129" s="223"/>
      <c r="B129" s="4" t="str">
        <f t="shared" ref="B129:J129" si="122">+B100</f>
        <v>OSTELLIERE</v>
      </c>
      <c r="C129" s="4" t="str">
        <f t="shared" si="122"/>
        <v>Copri candela</v>
      </c>
      <c r="D129" s="5">
        <f t="shared" si="122"/>
        <v>4</v>
      </c>
      <c r="E129" s="5">
        <f t="shared" si="122"/>
        <v>5</v>
      </c>
      <c r="F129" s="5">
        <f t="shared" si="122"/>
        <v>0.34</v>
      </c>
      <c r="G129" s="5">
        <f t="shared" si="122"/>
        <v>34</v>
      </c>
      <c r="H129" s="4">
        <f t="shared" si="122"/>
        <v>2.3780405299999999E-4</v>
      </c>
      <c r="I129" s="6">
        <f t="shared" si="122"/>
        <v>0.66056681388888883</v>
      </c>
      <c r="J129" s="6">
        <f t="shared" si="122"/>
        <v>0.59451013249999995</v>
      </c>
      <c r="R129" s="5">
        <f>+'Project Ostelliere'!R77</f>
        <v>15</v>
      </c>
      <c r="S129" s="6">
        <f>+'Project Ostelliere'!S77</f>
        <v>510</v>
      </c>
      <c r="T129" s="6">
        <f>+'Project Ostelliere'!T77</f>
        <v>9.9085022083333332</v>
      </c>
      <c r="U129" s="6">
        <f>+'Project Ostelliere'!U77</f>
        <v>8.9176519874999993</v>
      </c>
      <c r="V129" s="81">
        <f>+'Project Ostelliere'!V77</f>
        <v>4.3156803448251999</v>
      </c>
      <c r="W129" s="82">
        <f>+'Project Ostelliere'!W77</f>
        <v>6.0541939343137494E-2</v>
      </c>
      <c r="X129" s="82">
        <f>+'Project Ostelliere'!X77</f>
        <v>80.325000000000017</v>
      </c>
      <c r="Y129" s="82">
        <f>+'Project Ostelliere'!Y77</f>
        <v>30.02895752895753</v>
      </c>
      <c r="Z129" s="82">
        <f>+'Project Ostelliere'!Z77</f>
        <v>1.3543883133571428</v>
      </c>
      <c r="AA129" s="82">
        <f>+'Project Ostelliere'!AA77</f>
        <v>1.1486063852484083</v>
      </c>
      <c r="AB129" s="82">
        <f>+'Project Ostelliere'!AB77</f>
        <v>0</v>
      </c>
      <c r="AC129" s="83">
        <f t="shared" si="110"/>
        <v>117.23317451173145</v>
      </c>
      <c r="AD129" s="93">
        <f t="shared" si="111"/>
        <v>7.8155449674487629</v>
      </c>
      <c r="AE129" s="93">
        <f t="shared" si="112"/>
        <v>20</v>
      </c>
      <c r="AF129" s="90">
        <f t="shared" si="113"/>
        <v>12.184455032551238</v>
      </c>
      <c r="AG129" s="91">
        <f t="shared" si="114"/>
        <v>1.5590026138034778</v>
      </c>
      <c r="AH129" s="92">
        <f t="shared" si="115"/>
        <v>300</v>
      </c>
    </row>
    <row r="130" spans="1:34" x14ac:dyDescent="0.3">
      <c r="A130" s="223"/>
      <c r="B130" s="4" t="str">
        <f t="shared" ref="B130:J130" si="123">+B101</f>
        <v>OSTELLIERE</v>
      </c>
      <c r="C130" s="4" t="str">
        <f t="shared" si="123"/>
        <v xml:space="preserve">Vaso Grosso </v>
      </c>
      <c r="D130" s="5">
        <f t="shared" si="123"/>
        <v>4</v>
      </c>
      <c r="E130" s="5">
        <f t="shared" si="123"/>
        <v>5</v>
      </c>
      <c r="F130" s="5">
        <f t="shared" si="123"/>
        <v>1.31</v>
      </c>
      <c r="G130" s="5">
        <f t="shared" si="123"/>
        <v>91</v>
      </c>
      <c r="H130" s="4">
        <f t="shared" si="123"/>
        <v>9.52764444E-4</v>
      </c>
      <c r="I130" s="6">
        <f t="shared" si="123"/>
        <v>2.6465679</v>
      </c>
      <c r="J130" s="6">
        <f t="shared" si="123"/>
        <v>2.3819111099999999</v>
      </c>
      <c r="R130" s="5">
        <f>+'Project Ostelliere'!R78</f>
        <v>2</v>
      </c>
      <c r="S130" s="6">
        <f>+'Project Ostelliere'!S78</f>
        <v>182</v>
      </c>
      <c r="T130" s="6">
        <f>+'Project Ostelliere'!T78</f>
        <v>5.2931357999999999</v>
      </c>
      <c r="U130" s="6">
        <f>+'Project Ostelliere'!U78</f>
        <v>4.7638222199999998</v>
      </c>
      <c r="V130" s="81">
        <f>+'Project Ostelliere'!V78</f>
        <v>1.5401055348199733</v>
      </c>
      <c r="W130" s="82">
        <f>+'Project Ostelliere'!W78</f>
        <v>3.2341589051580001E-2</v>
      </c>
      <c r="X130" s="82">
        <f>+'Project Ostelliere'!X78</f>
        <v>28.665000000000006</v>
      </c>
      <c r="Y130" s="82">
        <f>+'Project Ostelliere'!Y78</f>
        <v>10.716216216216216</v>
      </c>
      <c r="Z130" s="82">
        <f>+'Project Ostelliere'!Z78</f>
        <v>0.48333073143333333</v>
      </c>
      <c r="AA130" s="82">
        <f>+'Project Ostelliere'!AA78</f>
        <v>0.61358714465983732</v>
      </c>
      <c r="AB130" s="82">
        <f>+'Project Ostelliere'!AB78</f>
        <v>0</v>
      </c>
      <c r="AC130" s="83">
        <f t="shared" si="110"/>
        <v>42.050581216180944</v>
      </c>
      <c r="AD130" s="93">
        <f t="shared" si="111"/>
        <v>21.025290608090472</v>
      </c>
      <c r="AE130" s="93">
        <f t="shared" si="112"/>
        <v>200</v>
      </c>
      <c r="AF130" s="90">
        <f t="shared" si="113"/>
        <v>178.97470939190953</v>
      </c>
      <c r="AG130" s="91">
        <f t="shared" si="114"/>
        <v>8.5123536567452049</v>
      </c>
      <c r="AH130" s="92">
        <f t="shared" si="115"/>
        <v>400</v>
      </c>
    </row>
    <row r="131" spans="1:34" x14ac:dyDescent="0.3">
      <c r="A131" s="223"/>
      <c r="B131" s="4" t="str">
        <f t="shared" ref="B131:J131" si="124">+B102</f>
        <v>ORTO</v>
      </c>
      <c r="C131" s="4" t="str">
        <f t="shared" si="124"/>
        <v>Bicchiere curve dritto</v>
      </c>
      <c r="D131" s="5">
        <f t="shared" si="124"/>
        <v>2</v>
      </c>
      <c r="E131" s="5">
        <f t="shared" si="124"/>
        <v>2</v>
      </c>
      <c r="F131" s="5">
        <f t="shared" si="124"/>
        <v>0.26</v>
      </c>
      <c r="G131" s="5">
        <f t="shared" si="124"/>
        <v>26</v>
      </c>
      <c r="H131" s="4">
        <f t="shared" si="124"/>
        <v>1.6928511099999999E-4</v>
      </c>
      <c r="I131" s="6">
        <f t="shared" si="124"/>
        <v>0.47023641944444439</v>
      </c>
      <c r="J131" s="6">
        <f t="shared" si="124"/>
        <v>0.42321277749999997</v>
      </c>
      <c r="R131" s="5">
        <f>+'Project Orto'!R73</f>
        <v>12</v>
      </c>
      <c r="S131" s="6">
        <f>+'Project Orto'!S73</f>
        <v>312</v>
      </c>
      <c r="T131" s="6">
        <f>+'Project Orto'!T73</f>
        <v>5.6428370333333326</v>
      </c>
      <c r="U131" s="6">
        <f>+'Project Orto'!U73</f>
        <v>5.0785533300000001</v>
      </c>
      <c r="V131" s="81">
        <f>+'Project Orto'!V73</f>
        <v>2.6401809168342401</v>
      </c>
      <c r="W131" s="82">
        <f>+'Project Orto'!W73</f>
        <v>3.4478298557370002E-2</v>
      </c>
      <c r="X131" s="82">
        <f>+'Project Orto'!X73</f>
        <v>49.140000000000008</v>
      </c>
      <c r="Y131" s="82">
        <f>+'Project Orto'!Y73</f>
        <v>18.37065637065637</v>
      </c>
      <c r="Z131" s="82">
        <f>+'Project Orto'!Z73</f>
        <v>0.82856696817142861</v>
      </c>
      <c r="AA131" s="82">
        <f>+'Project Orto'!AA73</f>
        <v>0.65412496370559525</v>
      </c>
      <c r="AB131" s="82">
        <f>+'Project Orto'!AB73</f>
        <v>0</v>
      </c>
      <c r="AC131" s="83">
        <f t="shared" si="110"/>
        <v>71.668007517925005</v>
      </c>
      <c r="AD131" s="93">
        <f t="shared" si="111"/>
        <v>5.9723339598270835</v>
      </c>
      <c r="AE131" s="93">
        <f t="shared" si="112"/>
        <v>15</v>
      </c>
      <c r="AF131" s="90">
        <f t="shared" si="113"/>
        <v>9.0276660401729174</v>
      </c>
      <c r="AG131" s="91">
        <f t="shared" si="114"/>
        <v>1.5115809164218765</v>
      </c>
      <c r="AH131" s="92">
        <f t="shared" si="115"/>
        <v>180</v>
      </c>
    </row>
    <row r="132" spans="1:34" x14ac:dyDescent="0.3">
      <c r="A132" s="223"/>
      <c r="B132" s="4" t="str">
        <f t="shared" ref="B132:J132" si="125">+B103</f>
        <v>ORTO</v>
      </c>
      <c r="C132" s="4" t="str">
        <f t="shared" si="125"/>
        <v>Bicchiere curve twist</v>
      </c>
      <c r="D132" s="5">
        <f t="shared" si="125"/>
        <v>2</v>
      </c>
      <c r="E132" s="5">
        <f t="shared" si="125"/>
        <v>2</v>
      </c>
      <c r="F132" s="5">
        <f t="shared" si="125"/>
        <v>0.25</v>
      </c>
      <c r="G132" s="5">
        <f t="shared" si="125"/>
        <v>25</v>
      </c>
      <c r="H132" s="4">
        <f t="shared" si="125"/>
        <v>1.69285896E-4</v>
      </c>
      <c r="I132" s="6">
        <f t="shared" si="125"/>
        <v>0.47023859999999995</v>
      </c>
      <c r="J132" s="6">
        <f t="shared" si="125"/>
        <v>0.42321473999999998</v>
      </c>
      <c r="R132" s="5">
        <f>+'Project Orto'!R74</f>
        <v>12</v>
      </c>
      <c r="S132" s="6">
        <f>+'Project Orto'!S74</f>
        <v>300</v>
      </c>
      <c r="T132" s="6">
        <f>+'Project Orto'!T74</f>
        <v>5.642863199999999</v>
      </c>
      <c r="U132" s="6">
        <f>+'Project Orto'!U74</f>
        <v>5.07857688</v>
      </c>
      <c r="V132" s="81">
        <f>+'Project Orto'!V74</f>
        <v>2.5386354969559997</v>
      </c>
      <c r="W132" s="82">
        <f>+'Project Orto'!W74</f>
        <v>3.4478458438320002E-2</v>
      </c>
      <c r="X132" s="82">
        <f>+'Project Orto'!X74</f>
        <v>47.250000000000007</v>
      </c>
      <c r="Y132" s="82">
        <f>+'Project Orto'!Y74</f>
        <v>17.664092664092664</v>
      </c>
      <c r="Z132" s="82">
        <f>+'Project Orto'!Z74</f>
        <v>0.79669900785714287</v>
      </c>
      <c r="AA132" s="82">
        <f>+'Project Orto'!AA74</f>
        <v>0.65412799697942225</v>
      </c>
      <c r="AB132" s="82">
        <f>+'Project Orto'!AB74</f>
        <v>0</v>
      </c>
      <c r="AC132" s="83">
        <f t="shared" si="110"/>
        <v>68.938033624323552</v>
      </c>
      <c r="AD132" s="93">
        <f t="shared" si="111"/>
        <v>5.7448361353602957</v>
      </c>
      <c r="AE132" s="93">
        <f t="shared" si="112"/>
        <v>15</v>
      </c>
      <c r="AF132" s="90">
        <f t="shared" si="113"/>
        <v>9.2551638646397052</v>
      </c>
      <c r="AG132" s="91">
        <f t="shared" si="114"/>
        <v>1.6110405321524901</v>
      </c>
      <c r="AH132" s="92">
        <f t="shared" si="115"/>
        <v>180</v>
      </c>
    </row>
    <row r="133" spans="1:34" x14ac:dyDescent="0.3">
      <c r="A133" s="223"/>
      <c r="B133" s="4" t="str">
        <f t="shared" ref="B133:J133" si="126">+B104</f>
        <v>ORTO</v>
      </c>
      <c r="C133" s="4" t="str">
        <f t="shared" si="126"/>
        <v>Caraffa curva</v>
      </c>
      <c r="D133" s="5">
        <f t="shared" si="126"/>
        <v>2</v>
      </c>
      <c r="E133" s="5">
        <f t="shared" si="126"/>
        <v>2</v>
      </c>
      <c r="F133" s="5">
        <f t="shared" si="126"/>
        <v>0.56999999999999995</v>
      </c>
      <c r="G133" s="5">
        <f t="shared" si="126"/>
        <v>57</v>
      </c>
      <c r="H133" s="4">
        <f t="shared" si="126"/>
        <v>3.69342133E-4</v>
      </c>
      <c r="I133" s="6">
        <f t="shared" si="126"/>
        <v>1.0259503694444445</v>
      </c>
      <c r="J133" s="6">
        <f t="shared" si="126"/>
        <v>0.92335533250000001</v>
      </c>
      <c r="R133" s="5">
        <f>+'Project Orto'!R75</f>
        <v>2</v>
      </c>
      <c r="S133" s="6">
        <f>+'Project Orto'!S75</f>
        <v>114</v>
      </c>
      <c r="T133" s="6">
        <f>+'Project Orto'!T75</f>
        <v>2.051900738888889</v>
      </c>
      <c r="U133" s="6">
        <f>+'Project Orto'!U75</f>
        <v>1.846710665</v>
      </c>
      <c r="V133" s="81">
        <f>+'Project Orto'!V75</f>
        <v>0.96468148884327987</v>
      </c>
      <c r="W133" s="82">
        <f>+'Project Orto'!W75</f>
        <v>1.2537318704685E-2</v>
      </c>
      <c r="X133" s="82">
        <f>+'Project Orto'!X75</f>
        <v>17.955000000000002</v>
      </c>
      <c r="Y133" s="82">
        <f>+'Project Orto'!Y75</f>
        <v>6.7123552123552122</v>
      </c>
      <c r="Z133" s="82">
        <f>+'Project Orto'!Z75</f>
        <v>0.30274562298571428</v>
      </c>
      <c r="AA133" s="82">
        <f>+'Project Orto'!AA75</f>
        <v>0.23785898625541477</v>
      </c>
      <c r="AB133" s="82">
        <f>+'Project Orto'!AB75</f>
        <v>0</v>
      </c>
      <c r="AC133" s="83">
        <f t="shared" si="110"/>
        <v>26.185178629144307</v>
      </c>
      <c r="AD133" s="93">
        <f t="shared" si="111"/>
        <v>13.092589314572153</v>
      </c>
      <c r="AE133" s="93">
        <f t="shared" si="112"/>
        <v>30</v>
      </c>
      <c r="AF133" s="90">
        <f t="shared" si="113"/>
        <v>16.907410685427848</v>
      </c>
      <c r="AG133" s="91">
        <f t="shared" si="114"/>
        <v>1.2913725680381474</v>
      </c>
      <c r="AH133" s="92">
        <f t="shared" si="115"/>
        <v>60</v>
      </c>
    </row>
    <row r="134" spans="1:34" x14ac:dyDescent="0.3">
      <c r="A134" s="223"/>
      <c r="B134" s="4" t="str">
        <f t="shared" ref="B134:J134" si="127">+B105</f>
        <v>ORTO</v>
      </c>
      <c r="C134" s="4" t="str">
        <f t="shared" si="127"/>
        <v>Caraffa colonna dritta</v>
      </c>
      <c r="D134" s="5">
        <f t="shared" si="127"/>
        <v>2</v>
      </c>
      <c r="E134" s="5">
        <f t="shared" si="127"/>
        <v>1</v>
      </c>
      <c r="F134" s="5">
        <f t="shared" si="127"/>
        <v>1.4</v>
      </c>
      <c r="G134" s="5">
        <f t="shared" si="127"/>
        <v>100</v>
      </c>
      <c r="H134" s="4">
        <f t="shared" si="127"/>
        <v>3.2796365999999998E-4</v>
      </c>
      <c r="I134" s="6">
        <f t="shared" si="127"/>
        <v>0.91101016666666657</v>
      </c>
      <c r="J134" s="6">
        <f t="shared" si="127"/>
        <v>0.81990914999999998</v>
      </c>
      <c r="R134" s="5">
        <f>+'Project Orto'!R76</f>
        <v>2</v>
      </c>
      <c r="S134" s="6">
        <f>+'Project Orto'!S76</f>
        <v>200</v>
      </c>
      <c r="T134" s="6">
        <f>+'Project Orto'!T76</f>
        <v>1.8220203333333331</v>
      </c>
      <c r="U134" s="6">
        <f>+'Project Orto'!U76</f>
        <v>1.6398183</v>
      </c>
      <c r="V134" s="81">
        <f>+'Project Orto'!V76</f>
        <v>1.6924236646373332</v>
      </c>
      <c r="W134" s="82">
        <f>+'Project Orto'!W76</f>
        <v>1.1132726438699999E-2</v>
      </c>
      <c r="X134" s="82">
        <f>+'Project Orto'!X76</f>
        <v>31.500000000000007</v>
      </c>
      <c r="Y134" s="82">
        <f>+'Project Orto'!Y76</f>
        <v>11.776061776061777</v>
      </c>
      <c r="Z134" s="82">
        <f>+'Project Orto'!Z76</f>
        <v>0.53113267190476188</v>
      </c>
      <c r="AA134" s="82">
        <f>+'Project Orto'!AA76</f>
        <v>0.21121095246454188</v>
      </c>
      <c r="AB134" s="82">
        <f>+'Project Orto'!AB76</f>
        <v>0</v>
      </c>
      <c r="AC134" s="83">
        <f t="shared" si="110"/>
        <v>45.72196179150712</v>
      </c>
      <c r="AD134" s="93">
        <f t="shared" si="111"/>
        <v>22.86098089575356</v>
      </c>
      <c r="AE134" s="93">
        <f t="shared" si="112"/>
        <v>30</v>
      </c>
      <c r="AF134" s="90">
        <f t="shared" si="113"/>
        <v>7.1390191042464402</v>
      </c>
      <c r="AG134" s="91">
        <f t="shared" si="114"/>
        <v>0.31227964962660537</v>
      </c>
      <c r="AH134" s="92">
        <f t="shared" si="115"/>
        <v>60</v>
      </c>
    </row>
    <row r="135" spans="1:34" x14ac:dyDescent="0.3">
      <c r="A135" s="223"/>
      <c r="B135" s="4" t="str">
        <f t="shared" ref="B135:J135" si="128">+B106</f>
        <v>ORTO</v>
      </c>
      <c r="C135" s="4" t="str">
        <f t="shared" si="128"/>
        <v>Caraffa colonna twist1</v>
      </c>
      <c r="D135" s="5">
        <f t="shared" si="128"/>
        <v>2</v>
      </c>
      <c r="E135" s="5">
        <f t="shared" si="128"/>
        <v>1</v>
      </c>
      <c r="F135" s="5">
        <f t="shared" si="128"/>
        <v>1.41</v>
      </c>
      <c r="G135" s="5">
        <f t="shared" si="128"/>
        <v>101</v>
      </c>
      <c r="H135" s="4">
        <f t="shared" si="128"/>
        <v>3.323221E-4</v>
      </c>
      <c r="I135" s="6">
        <f t="shared" si="128"/>
        <v>0.92311694444444448</v>
      </c>
      <c r="J135" s="6">
        <f t="shared" si="128"/>
        <v>0.83080525000000005</v>
      </c>
      <c r="R135" s="5">
        <f>+'Project Orto'!R77</f>
        <v>2</v>
      </c>
      <c r="S135" s="6">
        <f>+'Project Orto'!S77</f>
        <v>202</v>
      </c>
      <c r="T135" s="6">
        <f>+'Project Orto'!T77</f>
        <v>1.846233888888889</v>
      </c>
      <c r="U135" s="6">
        <f>+'Project Orto'!U77</f>
        <v>1.6616105000000001</v>
      </c>
      <c r="V135" s="81">
        <f>+'Project Orto'!V77</f>
        <v>1.7093479012837065</v>
      </c>
      <c r="W135" s="82">
        <f>+'Project Orto'!W77</f>
        <v>1.12806736845E-2</v>
      </c>
      <c r="X135" s="82">
        <f>+'Project Orto'!X77</f>
        <v>31.815000000000005</v>
      </c>
      <c r="Y135" s="82">
        <f>+'Project Orto'!Y77</f>
        <v>11.893822393822393</v>
      </c>
      <c r="Z135" s="82">
        <f>+'Project Orto'!Z77</f>
        <v>0.53644399862380954</v>
      </c>
      <c r="AA135" s="82">
        <f>+'Project Orto'!AA77</f>
        <v>0.21401781912671894</v>
      </c>
      <c r="AB135" s="82">
        <f>+'Project Orto'!AB77</f>
        <v>0</v>
      </c>
      <c r="AC135" s="83">
        <f t="shared" si="110"/>
        <v>46.179912786541131</v>
      </c>
      <c r="AD135" s="93">
        <f t="shared" si="111"/>
        <v>23.089956393270565</v>
      </c>
      <c r="AE135" s="93">
        <f t="shared" si="112"/>
        <v>30</v>
      </c>
      <c r="AF135" s="90">
        <f t="shared" si="113"/>
        <v>6.9100436067294346</v>
      </c>
      <c r="AG135" s="91">
        <f t="shared" si="114"/>
        <v>0.29926620427673595</v>
      </c>
      <c r="AH135" s="92">
        <f t="shared" si="115"/>
        <v>60</v>
      </c>
    </row>
    <row r="136" spans="1:34" x14ac:dyDescent="0.3">
      <c r="A136" s="223"/>
      <c r="B136" s="4" t="str">
        <f t="shared" ref="B136:J136" si="129">+B107</f>
        <v>ORTO</v>
      </c>
      <c r="C136" s="4" t="str">
        <f t="shared" si="129"/>
        <v>Caraffa colonna twist2</v>
      </c>
      <c r="D136" s="5">
        <f t="shared" si="129"/>
        <v>2</v>
      </c>
      <c r="E136" s="5">
        <f t="shared" si="129"/>
        <v>1</v>
      </c>
      <c r="F136" s="5">
        <f t="shared" si="129"/>
        <v>1.45</v>
      </c>
      <c r="G136" s="5">
        <f t="shared" si="129"/>
        <v>105</v>
      </c>
      <c r="H136" s="4">
        <f t="shared" si="129"/>
        <v>3.4271101000000001E-4</v>
      </c>
      <c r="I136" s="6">
        <f t="shared" si="129"/>
        <v>0.95197502777777776</v>
      </c>
      <c r="J136" s="6">
        <f t="shared" si="129"/>
        <v>0.85677752500000004</v>
      </c>
      <c r="R136" s="5">
        <f>+'Project Orto'!R78</f>
        <v>2</v>
      </c>
      <c r="S136" s="6">
        <f>+'Project Orto'!S78</f>
        <v>210</v>
      </c>
      <c r="T136" s="6">
        <f>+'Project Orto'!T78</f>
        <v>1.9039500555555555</v>
      </c>
      <c r="U136" s="6">
        <f>+'Project Orto'!U78</f>
        <v>1.7135550500000001</v>
      </c>
      <c r="V136" s="81">
        <f>+'Project Orto'!V78</f>
        <v>1.7770448478691998</v>
      </c>
      <c r="W136" s="82">
        <f>+'Project Orto'!W78</f>
        <v>1.1633325234450001E-2</v>
      </c>
      <c r="X136" s="82">
        <f>+'Project Orto'!X78</f>
        <v>33.075000000000003</v>
      </c>
      <c r="Y136" s="82">
        <f>+'Project Orto'!Y78</f>
        <v>12.364864864864865</v>
      </c>
      <c r="Z136" s="82">
        <f>+'Project Orto'!Z78</f>
        <v>0.55768930550000007</v>
      </c>
      <c r="AA136" s="82">
        <f>+'Project Orto'!AA78</f>
        <v>0.22070835177953907</v>
      </c>
      <c r="AB136" s="82">
        <f>+'Project Orto'!AB78</f>
        <v>0</v>
      </c>
      <c r="AC136" s="83">
        <f t="shared" si="110"/>
        <v>48.006940695248055</v>
      </c>
      <c r="AD136" s="93">
        <f t="shared" si="111"/>
        <v>24.003470347624027</v>
      </c>
      <c r="AE136" s="93">
        <f t="shared" si="112"/>
        <v>30</v>
      </c>
      <c r="AF136" s="90">
        <f t="shared" si="113"/>
        <v>5.9965296523759726</v>
      </c>
      <c r="AG136" s="91">
        <f t="shared" si="114"/>
        <v>0.24981927885979771</v>
      </c>
      <c r="AH136" s="92">
        <f t="shared" si="115"/>
        <v>60</v>
      </c>
    </row>
    <row r="137" spans="1:34" x14ac:dyDescent="0.3">
      <c r="A137" s="223"/>
      <c r="B137" s="4" t="str">
        <f t="shared" ref="B137:J137" si="130">+B108</f>
        <v>ORTO</v>
      </c>
      <c r="C137" s="4" t="str">
        <f t="shared" si="130"/>
        <v>Caraffa colonna twist3</v>
      </c>
      <c r="D137" s="5">
        <f t="shared" si="130"/>
        <v>2</v>
      </c>
      <c r="E137" s="5">
        <f t="shared" si="130"/>
        <v>1</v>
      </c>
      <c r="F137" s="5">
        <f t="shared" si="130"/>
        <v>1.42</v>
      </c>
      <c r="G137" s="5">
        <f t="shared" si="130"/>
        <v>102</v>
      </c>
      <c r="H137" s="4">
        <f t="shared" si="130"/>
        <v>3.3727121999999998E-4</v>
      </c>
      <c r="I137" s="6">
        <f t="shared" si="130"/>
        <v>0.93686449999999988</v>
      </c>
      <c r="J137" s="6">
        <f t="shared" si="130"/>
        <v>0.8431780499999999</v>
      </c>
      <c r="R137" s="5">
        <f>+'Project Orto'!R79</f>
        <v>2</v>
      </c>
      <c r="S137" s="6">
        <f>+'Project Orto'!S79</f>
        <v>204</v>
      </c>
      <c r="T137" s="6">
        <f>+'Project Orto'!T79</f>
        <v>1.8737289999999998</v>
      </c>
      <c r="U137" s="6">
        <f>+'Project Orto'!U79</f>
        <v>1.6863560999999998</v>
      </c>
      <c r="V137" s="81">
        <f>+'Project Orto'!V79</f>
        <v>1.7262721379300801</v>
      </c>
      <c r="W137" s="82">
        <f>+'Project Orto'!W79</f>
        <v>1.1448671562899998E-2</v>
      </c>
      <c r="X137" s="82">
        <f>+'Project Orto'!X79</f>
        <v>32.130000000000003</v>
      </c>
      <c r="Y137" s="82">
        <f>+'Project Orto'!Y79</f>
        <v>12.011583011583012</v>
      </c>
      <c r="Z137" s="82">
        <f>+'Project Orto'!Z79</f>
        <v>0.5417553253428572</v>
      </c>
      <c r="AA137" s="82">
        <f>+'Project Orto'!AA79</f>
        <v>0.21720508795114082</v>
      </c>
      <c r="AB137" s="82">
        <f>+'Project Orto'!AB79</f>
        <v>0</v>
      </c>
      <c r="AC137" s="83">
        <f t="shared" si="110"/>
        <v>46.638264234369991</v>
      </c>
      <c r="AD137" s="93">
        <f t="shared" si="111"/>
        <v>23.319132117184996</v>
      </c>
      <c r="AE137" s="93">
        <f t="shared" si="112"/>
        <v>30</v>
      </c>
      <c r="AF137" s="90">
        <f t="shared" si="113"/>
        <v>6.6808678828150043</v>
      </c>
      <c r="AG137" s="91">
        <f t="shared" si="114"/>
        <v>0.28649727825383131</v>
      </c>
      <c r="AH137" s="92">
        <f t="shared" si="115"/>
        <v>60</v>
      </c>
    </row>
    <row r="138" spans="1:34" x14ac:dyDescent="0.3">
      <c r="A138" s="223"/>
      <c r="B138" s="4" t="str">
        <f t="shared" ref="B138:J138" si="131">+B109</f>
        <v>ORTO</v>
      </c>
      <c r="C138" s="4" t="str">
        <f t="shared" si="131"/>
        <v>Bicchiere colonna twist1</v>
      </c>
      <c r="D138" s="5">
        <f t="shared" si="131"/>
        <v>1</v>
      </c>
      <c r="E138" s="5">
        <f t="shared" si="131"/>
        <v>1</v>
      </c>
      <c r="F138" s="5">
        <f t="shared" si="131"/>
        <v>0.57999999999999996</v>
      </c>
      <c r="G138" s="5">
        <f t="shared" si="131"/>
        <v>58</v>
      </c>
      <c r="H138" s="4">
        <f t="shared" si="131"/>
        <v>9.7981700000000004E-5</v>
      </c>
      <c r="I138" s="6">
        <f t="shared" si="131"/>
        <v>0.27217138888888892</v>
      </c>
      <c r="J138" s="6">
        <f t="shared" si="131"/>
        <v>0.24495425000000001</v>
      </c>
      <c r="R138" s="5">
        <f>+'Project Orto'!R80</f>
        <v>12</v>
      </c>
      <c r="S138" s="6">
        <f>+'Project Orto'!S80</f>
        <v>696</v>
      </c>
      <c r="T138" s="6">
        <f>+'Project Orto'!T80</f>
        <v>3.2660566666666671</v>
      </c>
      <c r="U138" s="6">
        <f>+'Project Orto'!U80</f>
        <v>2.939451</v>
      </c>
      <c r="V138" s="81">
        <f>+'Project Orto'!V80</f>
        <v>5.8896343529379198</v>
      </c>
      <c r="W138" s="82">
        <f>+'Project Orto'!W80</f>
        <v>1.9955932839000001E-2</v>
      </c>
      <c r="X138" s="82">
        <f>+'Project Orto'!X80</f>
        <v>109.62000000000002</v>
      </c>
      <c r="Y138" s="82">
        <f>+'Project Orto'!Y80</f>
        <v>40.980694980694977</v>
      </c>
      <c r="Z138" s="82">
        <f>+'Project Orto'!Z80</f>
        <v>1.8483416982285714</v>
      </c>
      <c r="AA138" s="82">
        <f>+'Project Orto'!AA80</f>
        <v>0.37860551100865886</v>
      </c>
      <c r="AB138" s="82">
        <f>+'Project Orto'!AB80</f>
        <v>0</v>
      </c>
      <c r="AC138" s="83">
        <f t="shared" si="110"/>
        <v>158.73723247570913</v>
      </c>
      <c r="AD138" s="93">
        <f t="shared" si="111"/>
        <v>13.228102706309095</v>
      </c>
      <c r="AE138" s="93">
        <f t="shared" si="112"/>
        <v>15</v>
      </c>
      <c r="AF138" s="90">
        <f t="shared" si="113"/>
        <v>1.7718972936909054</v>
      </c>
      <c r="AG138" s="91">
        <f t="shared" si="114"/>
        <v>0.13394946599906618</v>
      </c>
      <c r="AH138" s="92">
        <f t="shared" si="115"/>
        <v>180</v>
      </c>
    </row>
    <row r="139" spans="1:34" x14ac:dyDescent="0.3">
      <c r="A139" s="223"/>
      <c r="B139" s="4" t="str">
        <f t="shared" ref="B139:J139" si="132">+B110</f>
        <v>ORTO</v>
      </c>
      <c r="C139" s="4" t="str">
        <f t="shared" si="132"/>
        <v>Bicchiere colonna twist2</v>
      </c>
      <c r="D139" s="5">
        <f t="shared" si="132"/>
        <v>1</v>
      </c>
      <c r="E139" s="5">
        <f t="shared" si="132"/>
        <v>1</v>
      </c>
      <c r="F139" s="5">
        <f t="shared" si="132"/>
        <v>0.59</v>
      </c>
      <c r="G139" s="5">
        <f t="shared" si="132"/>
        <v>59</v>
      </c>
      <c r="H139" s="4">
        <f t="shared" si="132"/>
        <v>9.7982366999999995E-5</v>
      </c>
      <c r="I139" s="6">
        <f t="shared" si="132"/>
        <v>0.27217324166666662</v>
      </c>
      <c r="J139" s="6">
        <f t="shared" si="132"/>
        <v>0.24495591749999998</v>
      </c>
      <c r="R139" s="5">
        <f>+'Project Orto'!R81</f>
        <v>12</v>
      </c>
      <c r="S139" s="6">
        <f>+'Project Orto'!S81</f>
        <v>708</v>
      </c>
      <c r="T139" s="6">
        <f>+'Project Orto'!T81</f>
        <v>3.2660788999999992</v>
      </c>
      <c r="U139" s="6">
        <f>+'Project Orto'!U81</f>
        <v>2.9394710099999997</v>
      </c>
      <c r="V139" s="81">
        <f>+'Project Orto'!V81</f>
        <v>5.9911797728161593</v>
      </c>
      <c r="W139" s="82">
        <f>+'Project Orto'!W81</f>
        <v>1.9956068686889997E-2</v>
      </c>
      <c r="X139" s="82">
        <f>+'Project Orto'!X81</f>
        <v>111.51000000000002</v>
      </c>
      <c r="Y139" s="82">
        <f>+'Project Orto'!Y81</f>
        <v>41.687258687258691</v>
      </c>
      <c r="Z139" s="82">
        <f>+'Project Orto'!Z81</f>
        <v>1.8802096585428572</v>
      </c>
      <c r="AA139" s="82">
        <f>+'Project Orto'!AA81</f>
        <v>0.37860808832540094</v>
      </c>
      <c r="AB139" s="82">
        <f>+'Project Orto'!AB81</f>
        <v>0</v>
      </c>
      <c r="AC139" s="83">
        <f t="shared" si="110"/>
        <v>161.46721227563</v>
      </c>
      <c r="AD139" s="93">
        <f t="shared" si="111"/>
        <v>13.455601022969168</v>
      </c>
      <c r="AE139" s="93">
        <f t="shared" si="112"/>
        <v>15</v>
      </c>
      <c r="AF139" s="90">
        <f t="shared" si="113"/>
        <v>1.5443989770308324</v>
      </c>
      <c r="AG139" s="91">
        <f t="shared" si="114"/>
        <v>0.11477740566136667</v>
      </c>
      <c r="AH139" s="92">
        <f t="shared" si="115"/>
        <v>180</v>
      </c>
    </row>
    <row r="140" spans="1:34" x14ac:dyDescent="0.3">
      <c r="A140" s="223"/>
      <c r="B140" s="4" t="str">
        <f t="shared" ref="B140:J140" si="133">+B111</f>
        <v>ORTO</v>
      </c>
      <c r="C140" s="4" t="str">
        <f t="shared" si="133"/>
        <v>Bicchiere colonna twist3</v>
      </c>
      <c r="D140" s="5">
        <f t="shared" si="133"/>
        <v>1</v>
      </c>
      <c r="E140" s="5">
        <f t="shared" si="133"/>
        <v>1</v>
      </c>
      <c r="F140" s="5">
        <f t="shared" si="133"/>
        <v>0.59</v>
      </c>
      <c r="G140" s="5">
        <f t="shared" si="133"/>
        <v>59</v>
      </c>
      <c r="H140" s="4">
        <f t="shared" si="133"/>
        <v>9.7984652999999995E-5</v>
      </c>
      <c r="I140" s="6">
        <f t="shared" si="133"/>
        <v>0.27217959166666666</v>
      </c>
      <c r="J140" s="6">
        <f t="shared" si="133"/>
        <v>0.2449616325</v>
      </c>
      <c r="R140" s="5">
        <f>+'Project Orto'!R82</f>
        <v>12</v>
      </c>
      <c r="S140" s="6">
        <f>+'Project Orto'!S82</f>
        <v>708</v>
      </c>
      <c r="T140" s="6">
        <f>+'Project Orto'!T82</f>
        <v>3.2661550999999998</v>
      </c>
      <c r="U140" s="6">
        <f>+'Project Orto'!U82</f>
        <v>2.9395395899999999</v>
      </c>
      <c r="V140" s="81">
        <f>+'Project Orto'!V82</f>
        <v>5.9911797728161593</v>
      </c>
      <c r="W140" s="82">
        <f>+'Project Orto'!W82</f>
        <v>1.995653427651E-2</v>
      </c>
      <c r="X140" s="82">
        <f>+'Project Orto'!X82</f>
        <v>111.51000000000002</v>
      </c>
      <c r="Y140" s="82">
        <f>+'Project Orto'!Y82</f>
        <v>41.687258687258691</v>
      </c>
      <c r="Z140" s="82">
        <f>+'Project Orto'!Z82</f>
        <v>1.8802096585428572</v>
      </c>
      <c r="AA140" s="82">
        <f>+'Project Orto'!AA82</f>
        <v>0.37861692152790888</v>
      </c>
      <c r="AB140" s="82">
        <f>+'Project Orto'!AB82</f>
        <v>0</v>
      </c>
      <c r="AC140" s="83">
        <f t="shared" si="110"/>
        <v>161.46722157442215</v>
      </c>
      <c r="AD140" s="93">
        <f t="shared" si="111"/>
        <v>13.455601797868512</v>
      </c>
      <c r="AE140" s="93">
        <f t="shared" si="112"/>
        <v>15</v>
      </c>
      <c r="AF140" s="90">
        <f t="shared" si="113"/>
        <v>1.5443982021314877</v>
      </c>
      <c r="AG140" s="91">
        <f t="shared" si="114"/>
        <v>0.11477734146206187</v>
      </c>
      <c r="AH140" s="92">
        <f t="shared" si="115"/>
        <v>180</v>
      </c>
    </row>
    <row r="141" spans="1:34" x14ac:dyDescent="0.3">
      <c r="A141" s="223"/>
      <c r="B141" s="4" t="str">
        <f t="shared" ref="B141:J141" si="134">+B112</f>
        <v>ORTO</v>
      </c>
      <c r="C141" s="4" t="str">
        <f t="shared" si="134"/>
        <v>Bicchiere colonna twist alto</v>
      </c>
      <c r="D141" s="5">
        <f t="shared" si="134"/>
        <v>1</v>
      </c>
      <c r="E141" s="5">
        <f t="shared" si="134"/>
        <v>1</v>
      </c>
      <c r="F141" s="5">
        <f t="shared" si="134"/>
        <v>0.57999999999999996</v>
      </c>
      <c r="G141" s="5">
        <f t="shared" si="134"/>
        <v>58</v>
      </c>
      <c r="H141" s="4">
        <f t="shared" si="134"/>
        <v>9.4065272999999995E-5</v>
      </c>
      <c r="I141" s="6">
        <f t="shared" si="134"/>
        <v>0.26129242499999999</v>
      </c>
      <c r="J141" s="6">
        <f t="shared" si="134"/>
        <v>0.23516318249999998</v>
      </c>
      <c r="R141" s="5">
        <f>+'Project Orto'!R83</f>
        <v>12</v>
      </c>
      <c r="S141" s="6">
        <f>+'Project Orto'!S83</f>
        <v>696</v>
      </c>
      <c r="T141" s="6">
        <f>+'Project Orto'!T83</f>
        <v>3.1355091000000002</v>
      </c>
      <c r="U141" s="6">
        <f>+'Project Orto'!U83</f>
        <v>2.8219581899999997</v>
      </c>
      <c r="V141" s="81">
        <f>+'Project Orto'!V83</f>
        <v>5.8896343529379198</v>
      </c>
      <c r="W141" s="82">
        <f>+'Project Orto'!W83</f>
        <v>1.9158274151909998E-2</v>
      </c>
      <c r="X141" s="82">
        <f>+'Project Orto'!X83</f>
        <v>109.62000000000002</v>
      </c>
      <c r="Y141" s="82">
        <f>+'Project Orto'!Y83</f>
        <v>40.980694980694977</v>
      </c>
      <c r="Z141" s="82">
        <f>+'Project Orto'!Z83</f>
        <v>1.8483416982285714</v>
      </c>
      <c r="AA141" s="82">
        <f>+'Project Orto'!AA83</f>
        <v>0.36347226831473628</v>
      </c>
      <c r="AB141" s="82">
        <f>+'Project Orto'!AB83</f>
        <v>0</v>
      </c>
      <c r="AC141" s="83">
        <f t="shared" si="110"/>
        <v>158.72130157432812</v>
      </c>
      <c r="AD141" s="93">
        <f t="shared" si="111"/>
        <v>13.22677513119401</v>
      </c>
      <c r="AE141" s="93">
        <f t="shared" si="112"/>
        <v>15</v>
      </c>
      <c r="AF141" s="90">
        <f t="shared" si="113"/>
        <v>1.7732248688059897</v>
      </c>
      <c r="AG141" s="91">
        <f t="shared" si="114"/>
        <v>0.13406328082376015</v>
      </c>
      <c r="AH141" s="92">
        <f t="shared" si="115"/>
        <v>180</v>
      </c>
    </row>
    <row r="142" spans="1:34" x14ac:dyDescent="0.3">
      <c r="A142" s="223"/>
      <c r="B142" s="4" t="str">
        <f t="shared" ref="B142:J142" si="135">+B113</f>
        <v>LA GALLINA</v>
      </c>
      <c r="C142" s="4" t="str">
        <f t="shared" si="135"/>
        <v>Oliera1</v>
      </c>
      <c r="D142" s="5">
        <f t="shared" si="135"/>
        <v>2</v>
      </c>
      <c r="E142" s="5">
        <f t="shared" si="135"/>
        <v>1</v>
      </c>
      <c r="F142" s="5">
        <f t="shared" si="135"/>
        <v>0.54</v>
      </c>
      <c r="G142" s="5">
        <f t="shared" si="135"/>
        <v>54</v>
      </c>
      <c r="H142" s="4">
        <f t="shared" si="135"/>
        <v>1.830542E-4</v>
      </c>
      <c r="I142" s="6">
        <f t="shared" si="135"/>
        <v>0.50848388888888885</v>
      </c>
      <c r="J142" s="6">
        <f t="shared" si="135"/>
        <v>0.45763549999999997</v>
      </c>
      <c r="R142" s="5">
        <f>+'Project La Gallina'!R37</f>
        <v>10</v>
      </c>
      <c r="S142" s="6">
        <f>+'Project La Gallina'!S37</f>
        <v>540</v>
      </c>
      <c r="T142" s="6">
        <f>+'Project La Gallina'!T37</f>
        <v>5.0848388888888882</v>
      </c>
      <c r="U142" s="6">
        <f>+'Project La Gallina'!U37</f>
        <v>4.5763549999999995</v>
      </c>
      <c r="V142" s="81">
        <f>+'Project La Gallina'!V37</f>
        <v>4.5695438945208</v>
      </c>
      <c r="W142" s="82">
        <f>+'Project La Gallina'!W37</f>
        <v>3.1068874094999997E-2</v>
      </c>
      <c r="X142" s="82">
        <f>+'Project La Gallina'!X37</f>
        <v>85.050000000000011</v>
      </c>
      <c r="Y142" s="82">
        <f>+'Project La Gallina'!Y37</f>
        <v>31.795366795366796</v>
      </c>
      <c r="Z142" s="82">
        <f>+'Project La Gallina'!Z37</f>
        <v>1.2857142857142856</v>
      </c>
      <c r="AA142" s="82">
        <f>+'Project La Gallina'!AA37</f>
        <v>0.5894410974471187</v>
      </c>
      <c r="AB142" s="82">
        <f>+'Project La Gallina'!AB37</f>
        <v>0</v>
      </c>
      <c r="AC142" s="83">
        <f t="shared" si="110"/>
        <v>123.32113494714402</v>
      </c>
      <c r="AD142" s="93">
        <f t="shared" si="111"/>
        <v>12.332113494714402</v>
      </c>
      <c r="AE142" s="93">
        <f t="shared" si="112"/>
        <v>20</v>
      </c>
      <c r="AF142" s="90">
        <f t="shared" si="113"/>
        <v>7.6678865052855976</v>
      </c>
      <c r="AG142" s="91">
        <f t="shared" si="114"/>
        <v>0.62178202532534976</v>
      </c>
      <c r="AH142" s="92">
        <f t="shared" si="115"/>
        <v>200</v>
      </c>
    </row>
    <row r="143" spans="1:34" ht="15" thickBot="1" x14ac:dyDescent="0.35">
      <c r="A143" s="224"/>
      <c r="B143" s="4" t="str">
        <f t="shared" ref="B143:J143" si="136">+B114</f>
        <v>LA GALLINA</v>
      </c>
      <c r="C143" s="4" t="str">
        <f t="shared" si="136"/>
        <v>Piatto spirale</v>
      </c>
      <c r="D143" s="5">
        <f t="shared" si="136"/>
        <v>4</v>
      </c>
      <c r="E143" s="5">
        <f t="shared" si="136"/>
        <v>5</v>
      </c>
      <c r="F143" s="5">
        <f t="shared" si="136"/>
        <v>0.25</v>
      </c>
      <c r="G143" s="5">
        <f t="shared" si="136"/>
        <v>25</v>
      </c>
      <c r="H143" s="4">
        <f t="shared" si="136"/>
        <v>1.575448E-4</v>
      </c>
      <c r="I143" s="6">
        <f t="shared" si="136"/>
        <v>0.43762444444444443</v>
      </c>
      <c r="J143" s="6">
        <f t="shared" si="136"/>
        <v>0.39386199999999999</v>
      </c>
      <c r="R143" s="5">
        <f>+'Project La Gallina'!R38</f>
        <v>10</v>
      </c>
      <c r="S143" s="6">
        <f>+'Project La Gallina'!S38</f>
        <v>250</v>
      </c>
      <c r="T143" s="6">
        <f>+'Project La Gallina'!T38</f>
        <v>4.3762444444444446</v>
      </c>
      <c r="U143" s="6">
        <f>+'Project La Gallina'!U38</f>
        <v>3.9386199999999998</v>
      </c>
      <c r="V143" s="84">
        <f>+'Project La Gallina'!V38</f>
        <v>2.1155295807966668</v>
      </c>
      <c r="W143" s="85">
        <f>+'Project La Gallina'!W38</f>
        <v>2.6739291179999999E-2</v>
      </c>
      <c r="X143" s="85">
        <f>+'Project La Gallina'!X38</f>
        <v>39.375000000000007</v>
      </c>
      <c r="Y143" s="85">
        <f>+'Project La Gallina'!Y38</f>
        <v>14.72007722007722</v>
      </c>
      <c r="Z143" s="85">
        <f>+'Project La Gallina'!Z38</f>
        <v>0.59523809523809523</v>
      </c>
      <c r="AA143" s="85">
        <f>+'Project La Gallina'!AA38</f>
        <v>0.50729991340863434</v>
      </c>
      <c r="AB143" s="85">
        <f>+'Project La Gallina'!AB38</f>
        <v>0</v>
      </c>
      <c r="AC143" s="83">
        <f t="shared" si="110"/>
        <v>57.33988410070063</v>
      </c>
      <c r="AD143" s="93">
        <f t="shared" si="111"/>
        <v>5.7339884100700633</v>
      </c>
      <c r="AE143" s="93">
        <f t="shared" si="112"/>
        <v>15</v>
      </c>
      <c r="AF143" s="90">
        <f t="shared" si="113"/>
        <v>9.2660115899299367</v>
      </c>
      <c r="AG143" s="91">
        <f t="shared" si="114"/>
        <v>1.6159801742286248</v>
      </c>
      <c r="AH143" s="92">
        <f t="shared" si="115"/>
        <v>150</v>
      </c>
    </row>
    <row r="146" spans="1:35" ht="18.600000000000001" thickBot="1" x14ac:dyDescent="0.4">
      <c r="D146" s="237" t="s">
        <v>40</v>
      </c>
      <c r="E146" s="237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10" t="s">
        <v>32</v>
      </c>
      <c r="S146" s="87">
        <f>+S148/60/7</f>
        <v>20.461904761904758</v>
      </c>
      <c r="T146" s="88" t="s">
        <v>83</v>
      </c>
    </row>
    <row r="147" spans="1:35" x14ac:dyDescent="0.3">
      <c r="D147" s="236" t="s">
        <v>33</v>
      </c>
      <c r="E147" s="236"/>
      <c r="F147" s="236"/>
      <c r="G147" s="236"/>
      <c r="H147" s="236"/>
      <c r="I147" s="236"/>
      <c r="J147" s="236"/>
      <c r="M147" s="236" t="s">
        <v>36</v>
      </c>
      <c r="N147" s="236"/>
      <c r="O147" s="236"/>
      <c r="P147" s="236"/>
      <c r="Q147" s="236"/>
      <c r="V147" s="238" t="s">
        <v>135</v>
      </c>
      <c r="W147" s="239"/>
      <c r="X147" s="239"/>
      <c r="Y147" s="239"/>
      <c r="Z147" s="239"/>
      <c r="AA147" s="239"/>
      <c r="AB147" s="239"/>
      <c r="AC147" s="240"/>
    </row>
    <row r="148" spans="1:35" ht="18" x14ac:dyDescent="0.35">
      <c r="B148" s="178" t="s">
        <v>464</v>
      </c>
      <c r="F148" s="225" t="s">
        <v>44</v>
      </c>
      <c r="G148" s="225"/>
      <c r="I148" s="20">
        <f>SUBTOTAL(9,I150:I172)</f>
        <v>59.570075669444442</v>
      </c>
      <c r="J148" s="20">
        <f>SUBTOTAL(9,J150:J172)</f>
        <v>53.613068102499987</v>
      </c>
      <c r="K148" s="1">
        <f>+'Finished goods'!$I$3</f>
        <v>2500</v>
      </c>
      <c r="L148" s="1">
        <f>+'Finished goods'!$J$3</f>
        <v>0.9</v>
      </c>
      <c r="M148" s="15">
        <f>+'Finished goods'!$K$3</f>
        <v>0.50772709939119998</v>
      </c>
      <c r="N148" s="15">
        <f>+'Finished goods'!$L$3</f>
        <v>6.7889999999999999E-3</v>
      </c>
      <c r="O148" s="13">
        <f>+'Finished goods'!$M$3</f>
        <v>0.15750000000000003</v>
      </c>
      <c r="P148" s="46">
        <f>+'Finished goods'!$N$3</f>
        <v>5.8880308880308881E-2</v>
      </c>
      <c r="Q148" s="1"/>
      <c r="S148" s="17">
        <f>SUBTOTAL(9,S150:S172)</f>
        <v>8594</v>
      </c>
      <c r="T148" s="17">
        <f>SUBTOTAL(9,T150:T172)</f>
        <v>162.95047083611109</v>
      </c>
      <c r="U148" s="75">
        <f>SUBTOTAL(9,U150:U172)</f>
        <v>146.65542375250001</v>
      </c>
      <c r="V148" s="77">
        <f t="shared" ref="V148:AC148" si="137">SUBTOTAL(9,V150:V172)</f>
        <v>72.723444869466206</v>
      </c>
      <c r="W148" s="17">
        <f t="shared" si="137"/>
        <v>0.99564367185572245</v>
      </c>
      <c r="X148" s="17">
        <f t="shared" si="137"/>
        <v>1353.5550000000003</v>
      </c>
      <c r="Y148" s="17">
        <f t="shared" si="137"/>
        <v>506.01737451737455</v>
      </c>
      <c r="Z148" s="17">
        <f t="shared" si="137"/>
        <v>22.605749238676189</v>
      </c>
      <c r="AA148" s="17">
        <f t="shared" si="137"/>
        <v>18.889429234236815</v>
      </c>
      <c r="AB148" s="17">
        <f t="shared" si="137"/>
        <v>468</v>
      </c>
      <c r="AC148" s="78">
        <f t="shared" si="137"/>
        <v>2442.7866415316093</v>
      </c>
      <c r="AF148" s="225" t="s">
        <v>118</v>
      </c>
      <c r="AG148" s="225"/>
      <c r="AH148" s="108">
        <f t="shared" ref="AH148" si="138">SUBTOTAL(9,AH150:AH172)</f>
        <v>8320</v>
      </c>
      <c r="AI148" s="95"/>
    </row>
    <row r="149" spans="1:35" x14ac:dyDescent="0.3">
      <c r="A149" s="1" t="s">
        <v>145</v>
      </c>
      <c r="B149" s="1" t="s">
        <v>30</v>
      </c>
      <c r="C149" s="1" t="s">
        <v>0</v>
      </c>
      <c r="D149" s="1" t="s">
        <v>4</v>
      </c>
      <c r="E149" s="1" t="s">
        <v>5</v>
      </c>
      <c r="F149" s="1" t="s">
        <v>45</v>
      </c>
      <c r="G149" s="1" t="s">
        <v>57</v>
      </c>
      <c r="H149" s="1" t="s">
        <v>6</v>
      </c>
      <c r="I149" s="1" t="s">
        <v>2</v>
      </c>
      <c r="J149" s="1" t="s">
        <v>7</v>
      </c>
      <c r="K149" s="1" t="s">
        <v>31</v>
      </c>
      <c r="L149" s="1" t="s">
        <v>8</v>
      </c>
      <c r="M149" s="1" t="s">
        <v>34</v>
      </c>
      <c r="N149" s="1" t="s">
        <v>35</v>
      </c>
      <c r="O149" s="1" t="s">
        <v>37</v>
      </c>
      <c r="P149" s="1" t="s">
        <v>93</v>
      </c>
      <c r="Q149" s="1" t="s">
        <v>94</v>
      </c>
      <c r="R149" s="11" t="s">
        <v>39</v>
      </c>
      <c r="S149" s="2" t="s">
        <v>43</v>
      </c>
      <c r="T149" s="2" t="s">
        <v>2</v>
      </c>
      <c r="U149" s="76" t="s">
        <v>7</v>
      </c>
      <c r="V149" s="2" t="str">
        <f>+V4</f>
        <v>energia €/h</v>
      </c>
      <c r="W149" s="2" t="str">
        <f t="shared" ref="W149:AB149" si="139">+W4</f>
        <v>materiale €/Kg</v>
      </c>
      <c r="X149" s="2" t="str">
        <f t="shared" si="139"/>
        <v>mod</v>
      </c>
      <c r="Y149" s="2" t="str">
        <f t="shared" si="139"/>
        <v>ammort</v>
      </c>
      <c r="Z149" s="2" t="str">
        <f t="shared" si="139"/>
        <v>Accensione</v>
      </c>
      <c r="AA149" s="2" t="str">
        <f t="shared" si="139"/>
        <v>trasporto</v>
      </c>
      <c r="AB149" s="2" t="str">
        <f t="shared" si="139"/>
        <v>forniture</v>
      </c>
      <c r="AC149" s="80" t="s">
        <v>42</v>
      </c>
      <c r="AD149" s="53" t="s">
        <v>116</v>
      </c>
      <c r="AE149" s="1" t="s">
        <v>117</v>
      </c>
      <c r="AF149" s="1" t="s">
        <v>119</v>
      </c>
      <c r="AG149" s="1" t="s">
        <v>120</v>
      </c>
      <c r="AH149" s="1" t="s">
        <v>121</v>
      </c>
    </row>
    <row r="150" spans="1:35" ht="14.4" customHeight="1" x14ac:dyDescent="0.3">
      <c r="A150" s="222" t="s">
        <v>416</v>
      </c>
      <c r="B150" s="4" t="str">
        <f>+B121</f>
        <v>OSTELLIERE</v>
      </c>
      <c r="C150" s="4" t="str">
        <f>+C121</f>
        <v>Tavolo twist Logo</v>
      </c>
      <c r="D150" s="5">
        <f>+D121</f>
        <v>8</v>
      </c>
      <c r="E150" s="5">
        <f>+E121</f>
        <v>10</v>
      </c>
      <c r="F150" s="5">
        <f>+F121</f>
        <v>1.22</v>
      </c>
      <c r="G150" s="5">
        <f t="shared" ref="G150:J150" si="140">+G121</f>
        <v>82</v>
      </c>
      <c r="H150" s="4">
        <f t="shared" si="140"/>
        <v>7.9769999999999997E-3</v>
      </c>
      <c r="I150" s="6">
        <f t="shared" si="140"/>
        <v>22.158333333333331</v>
      </c>
      <c r="J150" s="6">
        <f t="shared" si="140"/>
        <v>19.942499999999999</v>
      </c>
      <c r="R150" s="5">
        <f>+'Project Ostelliere'!R85</f>
        <v>2</v>
      </c>
      <c r="S150" s="6">
        <f>+'Project Ostelliere'!S85</f>
        <v>164</v>
      </c>
      <c r="T150" s="6">
        <f>+'Project Ostelliere'!T85</f>
        <v>44.316666666666663</v>
      </c>
      <c r="U150" s="6">
        <f>+'Project Ostelliere'!U85</f>
        <v>39.884999999999998</v>
      </c>
      <c r="V150" s="81">
        <f>+'Project Ostelliere'!V85</f>
        <v>1.3877874050026131</v>
      </c>
      <c r="W150" s="82">
        <f>+'Project Ostelliere'!W85</f>
        <v>0.27077926499999999</v>
      </c>
      <c r="X150" s="82">
        <f>+'Project Ostelliere'!X85</f>
        <v>25.830000000000005</v>
      </c>
      <c r="Y150" s="82">
        <f>+'Project Ostelliere'!Y85</f>
        <v>9.6563706563706564</v>
      </c>
      <c r="Z150" s="82">
        <f>+'Project Ostelliere'!Z85</f>
        <v>0.43552879096190478</v>
      </c>
      <c r="AA150" s="82">
        <f>+'Project Ostelliere'!AA85</f>
        <v>5.1372452905594805</v>
      </c>
      <c r="AB150" s="82">
        <f>+'Project Ostelliere'!AB85</f>
        <v>300</v>
      </c>
      <c r="AC150" s="83">
        <f>SUM(V150:AB150)</f>
        <v>342.71771140789463</v>
      </c>
      <c r="AD150" s="93">
        <f>+AC150/R150</f>
        <v>171.35885570394731</v>
      </c>
      <c r="AE150" s="93">
        <f>+AE121</f>
        <v>800</v>
      </c>
      <c r="AF150" s="90">
        <f>+AE150-AD150</f>
        <v>628.64114429605274</v>
      </c>
      <c r="AG150" s="91">
        <f>+AF150/AD150</f>
        <v>3.6685652557235873</v>
      </c>
      <c r="AH150" s="92">
        <f>+AE150*R150</f>
        <v>1600</v>
      </c>
    </row>
    <row r="151" spans="1:35" x14ac:dyDescent="0.3">
      <c r="A151" s="223"/>
      <c r="B151" s="4" t="str">
        <f t="shared" ref="B151:J151" si="141">+B122</f>
        <v>OSTELLIERE</v>
      </c>
      <c r="C151" s="4" t="str">
        <f t="shared" si="141"/>
        <v xml:space="preserve">Vaso bitorzolo curvo </v>
      </c>
      <c r="D151" s="5">
        <f t="shared" si="141"/>
        <v>4</v>
      </c>
      <c r="E151" s="5">
        <f t="shared" si="141"/>
        <v>2</v>
      </c>
      <c r="F151" s="5">
        <f t="shared" si="141"/>
        <v>5.21</v>
      </c>
      <c r="G151" s="5">
        <f t="shared" si="141"/>
        <v>321</v>
      </c>
      <c r="H151" s="4">
        <f t="shared" si="141"/>
        <v>6.0029599999999995E-4</v>
      </c>
      <c r="I151" s="6">
        <f t="shared" si="141"/>
        <v>1.6674888888888888</v>
      </c>
      <c r="J151" s="6">
        <f t="shared" si="141"/>
        <v>1.50074</v>
      </c>
      <c r="R151" s="5">
        <f>+'Project Ostelliere'!R86</f>
        <v>2</v>
      </c>
      <c r="S151" s="6">
        <f>+'Project Ostelliere'!S86</f>
        <v>642</v>
      </c>
      <c r="T151" s="6">
        <f>+'Project Ostelliere'!T86</f>
        <v>3.3349777777777776</v>
      </c>
      <c r="U151" s="6">
        <f>+'Project Ostelliere'!U86</f>
        <v>3.0014799999999999</v>
      </c>
      <c r="V151" s="81">
        <f>+'Project Ostelliere'!V86</f>
        <v>5.4326799634858398</v>
      </c>
      <c r="W151" s="82">
        <f>+'Project Ostelliere'!W86</f>
        <v>2.0377047719999999E-2</v>
      </c>
      <c r="X151" s="82">
        <f>+'Project Ostelliere'!X86</f>
        <v>101.11500000000002</v>
      </c>
      <c r="Y151" s="82">
        <f>+'Project Ostelliere'!Y86</f>
        <v>37.801158301158303</v>
      </c>
      <c r="Z151" s="82">
        <f>+'Project Ostelliere'!Z86</f>
        <v>1.7049358768142857</v>
      </c>
      <c r="AA151" s="82">
        <f>+'Project Ostelliere'!AA86</f>
        <v>0.38659493530671857</v>
      </c>
      <c r="AB151" s="82">
        <f>+'Project Ostelliere'!AB86</f>
        <v>0</v>
      </c>
      <c r="AC151" s="83">
        <f t="shared" ref="AC151:AC172" si="142">SUM(V151:AB151)</f>
        <v>146.46074612448518</v>
      </c>
      <c r="AD151" s="93">
        <f t="shared" ref="AD151:AD172" si="143">+AC151/R151</f>
        <v>73.230373062242592</v>
      </c>
      <c r="AE151" s="93">
        <f t="shared" ref="AE151:AE172" si="144">+AE122</f>
        <v>250</v>
      </c>
      <c r="AF151" s="90">
        <f t="shared" ref="AF151:AF172" si="145">+AE151-AD151</f>
        <v>176.76962693775741</v>
      </c>
      <c r="AG151" s="91">
        <f t="shared" ref="AG151:AG172" si="146">+AF151/AD151</f>
        <v>2.4138840148678611</v>
      </c>
      <c r="AH151" s="92">
        <f t="shared" ref="AH151:AH172" si="147">+AE151*R151</f>
        <v>500</v>
      </c>
    </row>
    <row r="152" spans="1:35" x14ac:dyDescent="0.3">
      <c r="A152" s="223"/>
      <c r="B152" s="4" t="str">
        <f t="shared" ref="B152:J152" si="148">+B123</f>
        <v>OSTELLIERE</v>
      </c>
      <c r="C152" s="4" t="str">
        <f t="shared" si="148"/>
        <v>Vaso bitorzolo twist</v>
      </c>
      <c r="D152" s="5">
        <f t="shared" si="148"/>
        <v>4</v>
      </c>
      <c r="E152" s="5">
        <f t="shared" si="148"/>
        <v>2</v>
      </c>
      <c r="F152" s="5">
        <f t="shared" si="148"/>
        <v>5.15</v>
      </c>
      <c r="G152" s="5">
        <f t="shared" si="148"/>
        <v>315</v>
      </c>
      <c r="H152" s="4">
        <f t="shared" si="148"/>
        <v>8.005105E-4</v>
      </c>
      <c r="I152" s="6">
        <f t="shared" si="148"/>
        <v>2.2236402777777777</v>
      </c>
      <c r="J152" s="6">
        <f t="shared" si="148"/>
        <v>2.0012762500000001</v>
      </c>
      <c r="R152" s="5">
        <f>+'Project Ostelliere'!R87</f>
        <v>2</v>
      </c>
      <c r="S152" s="6">
        <f>+'Project Ostelliere'!S87</f>
        <v>630</v>
      </c>
      <c r="T152" s="6">
        <f>+'Project Ostelliere'!T87</f>
        <v>4.4472805555555555</v>
      </c>
      <c r="U152" s="6">
        <f>+'Project Ostelliere'!U87</f>
        <v>4.0025525000000002</v>
      </c>
      <c r="V152" s="81">
        <f>+'Project Ostelliere'!V87</f>
        <v>5.3311345436076003</v>
      </c>
      <c r="W152" s="82">
        <f>+'Project Ostelliere'!W87</f>
        <v>2.71733289225E-2</v>
      </c>
      <c r="X152" s="82">
        <f>+'Project Ostelliere'!X87</f>
        <v>99.225000000000023</v>
      </c>
      <c r="Y152" s="82">
        <f>+'Project Ostelliere'!Y87</f>
        <v>37.094594594594597</v>
      </c>
      <c r="Z152" s="82">
        <f>+'Project Ostelliere'!Z87</f>
        <v>1.6730679165000002</v>
      </c>
      <c r="AA152" s="82">
        <f>+'Project Ostelliere'!AA87</f>
        <v>0.51553451124086935</v>
      </c>
      <c r="AB152" s="82">
        <f>+'Project Ostelliere'!AB87</f>
        <v>0</v>
      </c>
      <c r="AC152" s="83">
        <f t="shared" si="142"/>
        <v>143.86650489486561</v>
      </c>
      <c r="AD152" s="93">
        <f t="shared" si="143"/>
        <v>71.933252447432807</v>
      </c>
      <c r="AE152" s="93">
        <f t="shared" si="144"/>
        <v>250</v>
      </c>
      <c r="AF152" s="90">
        <f t="shared" si="145"/>
        <v>178.06674755256719</v>
      </c>
      <c r="AG152" s="91">
        <f t="shared" si="146"/>
        <v>2.475444130413738</v>
      </c>
      <c r="AH152" s="92">
        <f t="shared" si="147"/>
        <v>500</v>
      </c>
    </row>
    <row r="153" spans="1:35" x14ac:dyDescent="0.3">
      <c r="A153" s="223"/>
      <c r="B153" s="4" t="str">
        <f t="shared" ref="B153:J153" si="149">+B124</f>
        <v>OSTELLIERE</v>
      </c>
      <c r="C153" s="4" t="str">
        <f t="shared" si="149"/>
        <v>Vaso bitorzolo dritto</v>
      </c>
      <c r="D153" s="5">
        <f t="shared" si="149"/>
        <v>4</v>
      </c>
      <c r="E153" s="5">
        <f t="shared" si="149"/>
        <v>2</v>
      </c>
      <c r="F153" s="5">
        <f t="shared" si="149"/>
        <v>4.4800000000000004</v>
      </c>
      <c r="G153" s="5">
        <f t="shared" si="149"/>
        <v>288</v>
      </c>
      <c r="H153" s="4">
        <f t="shared" si="149"/>
        <v>8.2321687099999998E-4</v>
      </c>
      <c r="I153" s="6">
        <f t="shared" si="149"/>
        <v>2.2867135305555553</v>
      </c>
      <c r="J153" s="6">
        <f t="shared" si="149"/>
        <v>2.0580421775</v>
      </c>
      <c r="R153" s="5">
        <f>+'Project Ostelliere'!R88</f>
        <v>2</v>
      </c>
      <c r="S153" s="6">
        <f>+'Project Ostelliere'!S88</f>
        <v>576</v>
      </c>
      <c r="T153" s="6">
        <f>+'Project Ostelliere'!T88</f>
        <v>4.5734270611111105</v>
      </c>
      <c r="U153" s="6">
        <f>+'Project Ostelliere'!U88</f>
        <v>4.1160843549999999</v>
      </c>
      <c r="V153" s="81">
        <f>+'Project Ostelliere'!V88</f>
        <v>4.8741801541555203</v>
      </c>
      <c r="W153" s="82">
        <f>+'Project Ostelliere'!W88</f>
        <v>2.7944096686094998E-2</v>
      </c>
      <c r="X153" s="82">
        <f>+'Project Ostelliere'!X88</f>
        <v>90.720000000000013</v>
      </c>
      <c r="Y153" s="82">
        <f>+'Project Ostelliere'!Y88</f>
        <v>33.915057915057915</v>
      </c>
      <c r="Z153" s="82">
        <f>+'Project Ostelliere'!Z88</f>
        <v>1.5296620950857143</v>
      </c>
      <c r="AA153" s="82">
        <f>+'Project Ostelliere'!AA88</f>
        <v>0.53015757724130141</v>
      </c>
      <c r="AB153" s="82">
        <f>+'Project Ostelliere'!AB88</f>
        <v>0</v>
      </c>
      <c r="AC153" s="83">
        <f t="shared" si="142"/>
        <v>131.59700183822656</v>
      </c>
      <c r="AD153" s="93">
        <f t="shared" si="143"/>
        <v>65.79850091911328</v>
      </c>
      <c r="AE153" s="93">
        <f t="shared" si="144"/>
        <v>250</v>
      </c>
      <c r="AF153" s="90">
        <f t="shared" si="145"/>
        <v>184.20149908088672</v>
      </c>
      <c r="AG153" s="91">
        <f t="shared" si="146"/>
        <v>2.7994786584473612</v>
      </c>
      <c r="AH153" s="92">
        <f t="shared" si="147"/>
        <v>500</v>
      </c>
    </row>
    <row r="154" spans="1:35" x14ac:dyDescent="0.3">
      <c r="A154" s="223"/>
      <c r="B154" s="4" t="str">
        <f t="shared" ref="B154:J154" si="150">+B125</f>
        <v>OSTELLIERE</v>
      </c>
      <c r="C154" s="4" t="str">
        <f t="shared" si="150"/>
        <v>Porta riviste</v>
      </c>
      <c r="D154" s="5">
        <f t="shared" si="150"/>
        <v>10</v>
      </c>
      <c r="E154" s="5">
        <f t="shared" si="150"/>
        <v>10</v>
      </c>
      <c r="F154" s="5">
        <f t="shared" si="150"/>
        <v>0.42</v>
      </c>
      <c r="G154" s="5">
        <f t="shared" si="150"/>
        <v>42</v>
      </c>
      <c r="H154" s="4">
        <f t="shared" si="150"/>
        <v>3.5606798E-3</v>
      </c>
      <c r="I154" s="6">
        <f t="shared" si="150"/>
        <v>9.890777222222221</v>
      </c>
      <c r="J154" s="6">
        <f t="shared" si="150"/>
        <v>8.9016994999999994</v>
      </c>
      <c r="R154" s="5">
        <f>+'Project Ostelliere'!R89</f>
        <v>2</v>
      </c>
      <c r="S154" s="6">
        <f>+'Project Ostelliere'!S89</f>
        <v>84</v>
      </c>
      <c r="T154" s="6">
        <f>+'Project Ostelliere'!T89</f>
        <v>19.781554444444442</v>
      </c>
      <c r="U154" s="6">
        <f>+'Project Ostelliere'!U89</f>
        <v>17.803398999999999</v>
      </c>
      <c r="V154" s="81">
        <f>+'Project Ostelliere'!V89</f>
        <v>0.71081793914767988</v>
      </c>
      <c r="W154" s="82">
        <f>+'Project Ostelliere'!W89</f>
        <v>0.12086727581099999</v>
      </c>
      <c r="X154" s="82">
        <f>+'Project Ostelliere'!X89</f>
        <v>13.230000000000002</v>
      </c>
      <c r="Y154" s="82">
        <f>+'Project Ostelliere'!Y89</f>
        <v>4.9459459459459456</v>
      </c>
      <c r="Z154" s="82">
        <f>+'Project Ostelliere'!Z89</f>
        <v>0.22307572219999999</v>
      </c>
      <c r="AA154" s="82">
        <f>+'Project Ostelliere'!AA89</f>
        <v>2.2931033638887142</v>
      </c>
      <c r="AB154" s="82">
        <f>+'Project Ostelliere'!AB89</f>
        <v>0</v>
      </c>
      <c r="AC154" s="83">
        <f t="shared" si="142"/>
        <v>21.523810246993346</v>
      </c>
      <c r="AD154" s="93">
        <f t="shared" si="143"/>
        <v>10.761905123496673</v>
      </c>
      <c r="AE154" s="93">
        <f t="shared" si="144"/>
        <v>130</v>
      </c>
      <c r="AF154" s="90">
        <f t="shared" si="145"/>
        <v>119.23809487650333</v>
      </c>
      <c r="AG154" s="91">
        <f t="shared" si="146"/>
        <v>11.079645611832103</v>
      </c>
      <c r="AH154" s="92">
        <f t="shared" si="147"/>
        <v>260</v>
      </c>
    </row>
    <row r="155" spans="1:35" x14ac:dyDescent="0.3">
      <c r="A155" s="223"/>
      <c r="B155" s="4" t="str">
        <f t="shared" ref="B155:J155" si="151">+B126</f>
        <v>OSTELLIERE</v>
      </c>
      <c r="C155" s="4" t="str">
        <f t="shared" si="151"/>
        <v>Lampada 90 grossa</v>
      </c>
      <c r="D155" s="5">
        <f t="shared" si="151"/>
        <v>8</v>
      </c>
      <c r="E155" s="5">
        <f t="shared" si="151"/>
        <v>10</v>
      </c>
      <c r="F155" s="5">
        <f t="shared" si="151"/>
        <v>1.39</v>
      </c>
      <c r="G155" s="5">
        <f t="shared" si="151"/>
        <v>99</v>
      </c>
      <c r="H155" s="4">
        <f t="shared" si="151"/>
        <v>1.7366300000000001E-3</v>
      </c>
      <c r="I155" s="6">
        <f t="shared" si="151"/>
        <v>4.8239722222222232</v>
      </c>
      <c r="J155" s="6">
        <f t="shared" si="151"/>
        <v>4.3415750000000006</v>
      </c>
      <c r="R155" s="5">
        <f>+'Project Ostelliere'!R90</f>
        <v>1</v>
      </c>
      <c r="S155" s="6">
        <f>+'Project Ostelliere'!S90</f>
        <v>99</v>
      </c>
      <c r="T155" s="6">
        <f>+'Project Ostelliere'!T90</f>
        <v>4.8239722222222232</v>
      </c>
      <c r="U155" s="6">
        <f>+'Project Ostelliere'!U90</f>
        <v>4.3415750000000006</v>
      </c>
      <c r="V155" s="81">
        <f>+'Project Ostelliere'!V90</f>
        <v>0.83774971399547993</v>
      </c>
      <c r="W155" s="82">
        <f>+'Project Ostelliere'!W90</f>
        <v>2.9474952675000003E-2</v>
      </c>
      <c r="X155" s="82">
        <f>+'Project Ostelliere'!X90</f>
        <v>15.592500000000003</v>
      </c>
      <c r="Y155" s="82">
        <f>+'Project Ostelliere'!Y90</f>
        <v>5.8291505791505793</v>
      </c>
      <c r="Z155" s="82">
        <f>+'Project Ostelliere'!Z90</f>
        <v>0.26291067259285716</v>
      </c>
      <c r="AA155" s="82">
        <f>+'Project Ostelliere'!AA90</f>
        <v>0.55920109621062508</v>
      </c>
      <c r="AB155" s="82">
        <f>+'Project Ostelliere'!AB90</f>
        <v>24</v>
      </c>
      <c r="AC155" s="83">
        <f t="shared" si="142"/>
        <v>47.110987014624541</v>
      </c>
      <c r="AD155" s="93">
        <f t="shared" si="143"/>
        <v>47.110987014624541</v>
      </c>
      <c r="AE155" s="93">
        <f t="shared" si="144"/>
        <v>400</v>
      </c>
      <c r="AF155" s="90">
        <f t="shared" si="145"/>
        <v>352.88901298537547</v>
      </c>
      <c r="AG155" s="91">
        <f t="shared" si="146"/>
        <v>7.4905884029945931</v>
      </c>
      <c r="AH155" s="92">
        <f t="shared" si="147"/>
        <v>400</v>
      </c>
    </row>
    <row r="156" spans="1:35" x14ac:dyDescent="0.3">
      <c r="A156" s="223"/>
      <c r="B156" s="4" t="str">
        <f t="shared" ref="B156:J156" si="152">+B127</f>
        <v>OSTELLIERE</v>
      </c>
      <c r="C156" s="4" t="str">
        <f t="shared" si="152"/>
        <v>Lampada 90 piccola</v>
      </c>
      <c r="D156" s="5">
        <f t="shared" si="152"/>
        <v>5</v>
      </c>
      <c r="E156" s="5">
        <f t="shared" si="152"/>
        <v>10</v>
      </c>
      <c r="F156" s="5">
        <f t="shared" si="152"/>
        <v>1.1499999999999999</v>
      </c>
      <c r="G156" s="5">
        <f t="shared" si="152"/>
        <v>75</v>
      </c>
      <c r="H156" s="4">
        <f t="shared" si="152"/>
        <v>8.1557296000000004E-4</v>
      </c>
      <c r="I156" s="6">
        <f t="shared" si="152"/>
        <v>2.2654804444444445</v>
      </c>
      <c r="J156" s="6">
        <f t="shared" si="152"/>
        <v>2.0389324000000002</v>
      </c>
      <c r="R156" s="5">
        <f>+'Project Ostelliere'!R91</f>
        <v>6</v>
      </c>
      <c r="S156" s="6">
        <f>+'Project Ostelliere'!S91</f>
        <v>450</v>
      </c>
      <c r="T156" s="6">
        <f>+'Project Ostelliere'!T91</f>
        <v>13.592882666666668</v>
      </c>
      <c r="U156" s="6">
        <f>+'Project Ostelliere'!U91</f>
        <v>12.233594400000001</v>
      </c>
      <c r="V156" s="81">
        <f>+'Project Ostelliere'!V91</f>
        <v>3.8079532454339997</v>
      </c>
      <c r="W156" s="82">
        <f>+'Project Ostelliere'!W91</f>
        <v>8.3053872381600002E-2</v>
      </c>
      <c r="X156" s="82">
        <f>+'Project Ostelliere'!X91</f>
        <v>70.875000000000014</v>
      </c>
      <c r="Y156" s="82">
        <f>+'Project Ostelliere'!Y91</f>
        <v>26.496138996138995</v>
      </c>
      <c r="Z156" s="82">
        <f>+'Project Ostelliere'!Z91</f>
        <v>1.1950485117857144</v>
      </c>
      <c r="AA156" s="82">
        <f>+'Project Ostelliere'!AA91</f>
        <v>1.5757045309769298</v>
      </c>
      <c r="AB156" s="82">
        <f>+'Project Ostelliere'!AB91</f>
        <v>144</v>
      </c>
      <c r="AC156" s="83">
        <f t="shared" si="142"/>
        <v>248.03289915671726</v>
      </c>
      <c r="AD156" s="93">
        <f t="shared" si="143"/>
        <v>41.338816526119544</v>
      </c>
      <c r="AE156" s="93">
        <f t="shared" si="144"/>
        <v>200</v>
      </c>
      <c r="AF156" s="90">
        <f t="shared" si="145"/>
        <v>158.66118347388044</v>
      </c>
      <c r="AG156" s="91">
        <f t="shared" si="146"/>
        <v>3.8380678695441572</v>
      </c>
      <c r="AH156" s="92">
        <f t="shared" si="147"/>
        <v>1200</v>
      </c>
    </row>
    <row r="157" spans="1:35" x14ac:dyDescent="0.3">
      <c r="A157" s="223"/>
      <c r="B157" s="4" t="str">
        <f t="shared" ref="B157:J157" si="153">+B128</f>
        <v>OSTELLIERE</v>
      </c>
      <c r="C157" s="4" t="str">
        <f t="shared" si="153"/>
        <v>Vaso Logo</v>
      </c>
      <c r="D157" s="5">
        <f t="shared" si="153"/>
        <v>5</v>
      </c>
      <c r="E157" s="5">
        <f t="shared" si="153"/>
        <v>10</v>
      </c>
      <c r="F157" s="5">
        <f t="shared" si="153"/>
        <v>0.39</v>
      </c>
      <c r="G157" s="5">
        <f t="shared" si="153"/>
        <v>39</v>
      </c>
      <c r="H157" s="4">
        <f t="shared" si="153"/>
        <v>1.1639584900000001E-3</v>
      </c>
      <c r="I157" s="6">
        <f t="shared" si="153"/>
        <v>3.2332180277777778</v>
      </c>
      <c r="J157" s="6">
        <f t="shared" si="153"/>
        <v>2.9098962250000002</v>
      </c>
      <c r="R157" s="5">
        <f>+'Project Ostelliere'!R92</f>
        <v>3</v>
      </c>
      <c r="S157" s="6">
        <f>+'Project Ostelliere'!S92</f>
        <v>117</v>
      </c>
      <c r="T157" s="6">
        <f>+'Project Ostelliere'!T92</f>
        <v>9.6996540833333338</v>
      </c>
      <c r="U157" s="6">
        <f>+'Project Ostelliere'!U92</f>
        <v>8.7296886750000002</v>
      </c>
      <c r="V157" s="81">
        <f>+'Project Ostelliere'!V92</f>
        <v>0.99006784381283996</v>
      </c>
      <c r="W157" s="82">
        <f>+'Project Ostelliere'!W92</f>
        <v>5.9265856414574998E-2</v>
      </c>
      <c r="X157" s="82">
        <f>+'Project Ostelliere'!X92</f>
        <v>18.427500000000002</v>
      </c>
      <c r="Y157" s="82">
        <f>+'Project Ostelliere'!Y92</f>
        <v>6.8889961389961387</v>
      </c>
      <c r="Z157" s="82">
        <f>+'Project Ostelliere'!Z92</f>
        <v>0.31071261306428571</v>
      </c>
      <c r="AA157" s="82">
        <f>+'Project Ostelliere'!AA92</f>
        <v>1.1243964406091058</v>
      </c>
      <c r="AB157" s="82">
        <f>+'Project Ostelliere'!AB92</f>
        <v>0</v>
      </c>
      <c r="AC157" s="83">
        <f t="shared" si="142"/>
        <v>27.800938892896948</v>
      </c>
      <c r="AD157" s="93">
        <f t="shared" si="143"/>
        <v>9.2669796309656487</v>
      </c>
      <c r="AE157" s="93">
        <f t="shared" si="144"/>
        <v>310</v>
      </c>
      <c r="AF157" s="90">
        <f t="shared" si="145"/>
        <v>300.73302036903436</v>
      </c>
      <c r="AG157" s="91">
        <f t="shared" si="146"/>
        <v>32.452107627833108</v>
      </c>
      <c r="AH157" s="92">
        <f t="shared" si="147"/>
        <v>930</v>
      </c>
    </row>
    <row r="158" spans="1:35" x14ac:dyDescent="0.3">
      <c r="A158" s="223"/>
      <c r="B158" s="4" t="str">
        <f t="shared" ref="B158:J158" si="154">+B129</f>
        <v>OSTELLIERE</v>
      </c>
      <c r="C158" s="4" t="str">
        <f t="shared" si="154"/>
        <v>Copri candela</v>
      </c>
      <c r="D158" s="5">
        <f t="shared" si="154"/>
        <v>4</v>
      </c>
      <c r="E158" s="5">
        <f t="shared" si="154"/>
        <v>5</v>
      </c>
      <c r="F158" s="5">
        <f t="shared" si="154"/>
        <v>0.34</v>
      </c>
      <c r="G158" s="5">
        <f t="shared" si="154"/>
        <v>34</v>
      </c>
      <c r="H158" s="4">
        <f t="shared" si="154"/>
        <v>2.3780405299999999E-4</v>
      </c>
      <c r="I158" s="6">
        <f t="shared" si="154"/>
        <v>0.66056681388888883</v>
      </c>
      <c r="J158" s="6">
        <f t="shared" si="154"/>
        <v>0.59451013249999995</v>
      </c>
      <c r="R158" s="5">
        <f>+'Project Ostelliere'!R93</f>
        <v>15</v>
      </c>
      <c r="S158" s="6">
        <f>+'Project Ostelliere'!S93</f>
        <v>510</v>
      </c>
      <c r="T158" s="6">
        <f>+'Project Ostelliere'!T93</f>
        <v>9.9085022083333332</v>
      </c>
      <c r="U158" s="6">
        <f>+'Project Ostelliere'!U93</f>
        <v>8.9176519874999993</v>
      </c>
      <c r="V158" s="81">
        <f>+'Project Ostelliere'!V93</f>
        <v>4.3156803448251999</v>
      </c>
      <c r="W158" s="82">
        <f>+'Project Ostelliere'!W93</f>
        <v>6.0541939343137494E-2</v>
      </c>
      <c r="X158" s="82">
        <f>+'Project Ostelliere'!X93</f>
        <v>80.325000000000017</v>
      </c>
      <c r="Y158" s="82">
        <f>+'Project Ostelliere'!Y93</f>
        <v>30.02895752895753</v>
      </c>
      <c r="Z158" s="82">
        <f>+'Project Ostelliere'!Z93</f>
        <v>1.3543883133571428</v>
      </c>
      <c r="AA158" s="82">
        <f>+'Project Ostelliere'!AA93</f>
        <v>1.1486063852484083</v>
      </c>
      <c r="AB158" s="82">
        <f>+'Project Ostelliere'!AB93</f>
        <v>0</v>
      </c>
      <c r="AC158" s="83">
        <f t="shared" si="142"/>
        <v>117.23317451173145</v>
      </c>
      <c r="AD158" s="93">
        <f t="shared" si="143"/>
        <v>7.8155449674487629</v>
      </c>
      <c r="AE158" s="93">
        <f t="shared" si="144"/>
        <v>20</v>
      </c>
      <c r="AF158" s="90">
        <f t="shared" si="145"/>
        <v>12.184455032551238</v>
      </c>
      <c r="AG158" s="91">
        <f t="shared" si="146"/>
        <v>1.5590026138034778</v>
      </c>
      <c r="AH158" s="92">
        <f t="shared" si="147"/>
        <v>300</v>
      </c>
    </row>
    <row r="159" spans="1:35" x14ac:dyDescent="0.3">
      <c r="A159" s="223"/>
      <c r="B159" s="4" t="str">
        <f t="shared" ref="B159:J159" si="155">+B130</f>
        <v>OSTELLIERE</v>
      </c>
      <c r="C159" s="4" t="str">
        <f t="shared" si="155"/>
        <v xml:space="preserve">Vaso Grosso </v>
      </c>
      <c r="D159" s="5">
        <f t="shared" si="155"/>
        <v>4</v>
      </c>
      <c r="E159" s="5">
        <f t="shared" si="155"/>
        <v>5</v>
      </c>
      <c r="F159" s="5">
        <f t="shared" si="155"/>
        <v>1.31</v>
      </c>
      <c r="G159" s="5">
        <f t="shared" si="155"/>
        <v>91</v>
      </c>
      <c r="H159" s="4">
        <f t="shared" si="155"/>
        <v>9.52764444E-4</v>
      </c>
      <c r="I159" s="6">
        <f t="shared" si="155"/>
        <v>2.6465679</v>
      </c>
      <c r="J159" s="6">
        <f t="shared" si="155"/>
        <v>2.3819111099999999</v>
      </c>
      <c r="R159" s="5">
        <f>+'Project Ostelliere'!R94</f>
        <v>2</v>
      </c>
      <c r="S159" s="6">
        <f>+'Project Ostelliere'!S94</f>
        <v>182</v>
      </c>
      <c r="T159" s="6">
        <f>+'Project Ostelliere'!T94</f>
        <v>5.2931357999999999</v>
      </c>
      <c r="U159" s="6">
        <f>+'Project Ostelliere'!U94</f>
        <v>4.7638222199999998</v>
      </c>
      <c r="V159" s="81">
        <f>+'Project Ostelliere'!V94</f>
        <v>1.5401055348199733</v>
      </c>
      <c r="W159" s="82">
        <f>+'Project Ostelliere'!W94</f>
        <v>3.2341589051580001E-2</v>
      </c>
      <c r="X159" s="82">
        <f>+'Project Ostelliere'!X94</f>
        <v>28.665000000000006</v>
      </c>
      <c r="Y159" s="82">
        <f>+'Project Ostelliere'!Y94</f>
        <v>10.716216216216216</v>
      </c>
      <c r="Z159" s="82">
        <f>+'Project Ostelliere'!Z94</f>
        <v>0.48333073143333333</v>
      </c>
      <c r="AA159" s="82">
        <f>+'Project Ostelliere'!AA94</f>
        <v>0.61358714465983732</v>
      </c>
      <c r="AB159" s="82">
        <f>+'Project Ostelliere'!AB94</f>
        <v>0</v>
      </c>
      <c r="AC159" s="83">
        <f t="shared" si="142"/>
        <v>42.050581216180944</v>
      </c>
      <c r="AD159" s="93">
        <f t="shared" si="143"/>
        <v>21.025290608090472</v>
      </c>
      <c r="AE159" s="93">
        <f t="shared" si="144"/>
        <v>200</v>
      </c>
      <c r="AF159" s="90">
        <f t="shared" si="145"/>
        <v>178.97470939190953</v>
      </c>
      <c r="AG159" s="91">
        <f t="shared" si="146"/>
        <v>8.5123536567452049</v>
      </c>
      <c r="AH159" s="92">
        <f t="shared" si="147"/>
        <v>400</v>
      </c>
    </row>
    <row r="160" spans="1:35" x14ac:dyDescent="0.3">
      <c r="A160" s="223"/>
      <c r="B160" s="4" t="str">
        <f t="shared" ref="B160:J160" si="156">+B131</f>
        <v>ORTO</v>
      </c>
      <c r="C160" s="4" t="str">
        <f t="shared" si="156"/>
        <v>Bicchiere curve dritto</v>
      </c>
      <c r="D160" s="5">
        <f t="shared" si="156"/>
        <v>2</v>
      </c>
      <c r="E160" s="5">
        <f t="shared" si="156"/>
        <v>2</v>
      </c>
      <c r="F160" s="5">
        <f t="shared" si="156"/>
        <v>0.26</v>
      </c>
      <c r="G160" s="5">
        <f t="shared" si="156"/>
        <v>26</v>
      </c>
      <c r="H160" s="4">
        <f t="shared" si="156"/>
        <v>1.6928511099999999E-4</v>
      </c>
      <c r="I160" s="6">
        <f t="shared" si="156"/>
        <v>0.47023641944444439</v>
      </c>
      <c r="J160" s="6">
        <f t="shared" si="156"/>
        <v>0.42321277749999997</v>
      </c>
      <c r="R160" s="5">
        <f>+'Project Orto'!R90</f>
        <v>12</v>
      </c>
      <c r="S160" s="6">
        <f>+'Project Orto'!S90</f>
        <v>312</v>
      </c>
      <c r="T160" s="6">
        <f>+'Project Orto'!T90</f>
        <v>5.6428370333333326</v>
      </c>
      <c r="U160" s="6">
        <f>+'Project Orto'!U90</f>
        <v>5.0785533300000001</v>
      </c>
      <c r="V160" s="81">
        <f>+'Project Orto'!V90</f>
        <v>2.6401809168342401</v>
      </c>
      <c r="W160" s="82">
        <f>+'Project Orto'!W90</f>
        <v>3.4478298557370002E-2</v>
      </c>
      <c r="X160" s="82">
        <f>+'Project Orto'!X90</f>
        <v>49.140000000000008</v>
      </c>
      <c r="Y160" s="82">
        <f>+'Project Orto'!Y90</f>
        <v>18.37065637065637</v>
      </c>
      <c r="Z160" s="82">
        <f>+'Project Orto'!Z90</f>
        <v>0.82856696817142861</v>
      </c>
      <c r="AA160" s="82">
        <f>+'Project Orto'!AA90</f>
        <v>0.65412496370559525</v>
      </c>
      <c r="AB160" s="82">
        <f>+'Project Orto'!AB90</f>
        <v>0</v>
      </c>
      <c r="AC160" s="83">
        <f t="shared" si="142"/>
        <v>71.668007517925005</v>
      </c>
      <c r="AD160" s="93">
        <f t="shared" si="143"/>
        <v>5.9723339598270835</v>
      </c>
      <c r="AE160" s="93">
        <f t="shared" si="144"/>
        <v>15</v>
      </c>
      <c r="AF160" s="90">
        <f t="shared" si="145"/>
        <v>9.0276660401729174</v>
      </c>
      <c r="AG160" s="91">
        <f t="shared" si="146"/>
        <v>1.5115809164218765</v>
      </c>
      <c r="AH160" s="92">
        <f t="shared" si="147"/>
        <v>180</v>
      </c>
    </row>
    <row r="161" spans="1:34" x14ac:dyDescent="0.3">
      <c r="A161" s="223"/>
      <c r="B161" s="4" t="str">
        <f t="shared" ref="B161:J161" si="157">+B132</f>
        <v>ORTO</v>
      </c>
      <c r="C161" s="4" t="str">
        <f t="shared" si="157"/>
        <v>Bicchiere curve twist</v>
      </c>
      <c r="D161" s="5">
        <f t="shared" si="157"/>
        <v>2</v>
      </c>
      <c r="E161" s="5">
        <f t="shared" si="157"/>
        <v>2</v>
      </c>
      <c r="F161" s="5">
        <f t="shared" si="157"/>
        <v>0.25</v>
      </c>
      <c r="G161" s="5">
        <f t="shared" si="157"/>
        <v>25</v>
      </c>
      <c r="H161" s="4">
        <f t="shared" si="157"/>
        <v>1.69285896E-4</v>
      </c>
      <c r="I161" s="6">
        <f t="shared" si="157"/>
        <v>0.47023859999999995</v>
      </c>
      <c r="J161" s="6">
        <f t="shared" si="157"/>
        <v>0.42321473999999998</v>
      </c>
      <c r="R161" s="5">
        <f>+'Project Orto'!R91</f>
        <v>12</v>
      </c>
      <c r="S161" s="6">
        <f>+'Project Orto'!S91</f>
        <v>300</v>
      </c>
      <c r="T161" s="6">
        <f>+'Project Orto'!T91</f>
        <v>5.642863199999999</v>
      </c>
      <c r="U161" s="6">
        <f>+'Project Orto'!U91</f>
        <v>5.07857688</v>
      </c>
      <c r="V161" s="81">
        <f>+'Project Orto'!V91</f>
        <v>2.5386354969559997</v>
      </c>
      <c r="W161" s="82">
        <f>+'Project Orto'!W91</f>
        <v>3.4478458438320002E-2</v>
      </c>
      <c r="X161" s="82">
        <f>+'Project Orto'!X91</f>
        <v>47.250000000000007</v>
      </c>
      <c r="Y161" s="82">
        <f>+'Project Orto'!Y91</f>
        <v>17.664092664092664</v>
      </c>
      <c r="Z161" s="82">
        <f>+'Project Orto'!Z91</f>
        <v>0.79669900785714287</v>
      </c>
      <c r="AA161" s="82">
        <f>+'Project Orto'!AA91</f>
        <v>0.65412799697942225</v>
      </c>
      <c r="AB161" s="82">
        <f>+'Project Orto'!AB91</f>
        <v>0</v>
      </c>
      <c r="AC161" s="83">
        <f t="shared" si="142"/>
        <v>68.938033624323552</v>
      </c>
      <c r="AD161" s="93">
        <f t="shared" si="143"/>
        <v>5.7448361353602957</v>
      </c>
      <c r="AE161" s="93">
        <f t="shared" si="144"/>
        <v>15</v>
      </c>
      <c r="AF161" s="90">
        <f t="shared" si="145"/>
        <v>9.2551638646397052</v>
      </c>
      <c r="AG161" s="91">
        <f t="shared" si="146"/>
        <v>1.6110405321524901</v>
      </c>
      <c r="AH161" s="92">
        <f t="shared" si="147"/>
        <v>180</v>
      </c>
    </row>
    <row r="162" spans="1:34" x14ac:dyDescent="0.3">
      <c r="A162" s="223"/>
      <c r="B162" s="4" t="str">
        <f t="shared" ref="B162:J162" si="158">+B133</f>
        <v>ORTO</v>
      </c>
      <c r="C162" s="4" t="str">
        <f t="shared" si="158"/>
        <v>Caraffa curva</v>
      </c>
      <c r="D162" s="5">
        <f t="shared" si="158"/>
        <v>2</v>
      </c>
      <c r="E162" s="5">
        <f t="shared" si="158"/>
        <v>2</v>
      </c>
      <c r="F162" s="5">
        <f t="shared" si="158"/>
        <v>0.56999999999999995</v>
      </c>
      <c r="G162" s="5">
        <f t="shared" si="158"/>
        <v>57</v>
      </c>
      <c r="H162" s="4">
        <f t="shared" si="158"/>
        <v>3.69342133E-4</v>
      </c>
      <c r="I162" s="6">
        <f t="shared" si="158"/>
        <v>1.0259503694444445</v>
      </c>
      <c r="J162" s="6">
        <f t="shared" si="158"/>
        <v>0.92335533250000001</v>
      </c>
      <c r="R162" s="5">
        <f>+'Project Orto'!R92</f>
        <v>2</v>
      </c>
      <c r="S162" s="6">
        <f>+'Project Orto'!S92</f>
        <v>114</v>
      </c>
      <c r="T162" s="6">
        <f>+'Project Orto'!T92</f>
        <v>2.051900738888889</v>
      </c>
      <c r="U162" s="6">
        <f>+'Project Orto'!U92</f>
        <v>1.846710665</v>
      </c>
      <c r="V162" s="81">
        <f>+'Project Orto'!V92</f>
        <v>0.96468148884327987</v>
      </c>
      <c r="W162" s="82">
        <f>+'Project Orto'!W92</f>
        <v>1.2537318704685E-2</v>
      </c>
      <c r="X162" s="82">
        <f>+'Project Orto'!X92</f>
        <v>17.955000000000002</v>
      </c>
      <c r="Y162" s="82">
        <f>+'Project Orto'!Y92</f>
        <v>6.7123552123552122</v>
      </c>
      <c r="Z162" s="82">
        <f>+'Project Orto'!Z92</f>
        <v>0.30274562298571428</v>
      </c>
      <c r="AA162" s="82">
        <f>+'Project Orto'!AA92</f>
        <v>0.23785898625541477</v>
      </c>
      <c r="AB162" s="82">
        <f>+'Project Orto'!AB92</f>
        <v>0</v>
      </c>
      <c r="AC162" s="83">
        <f t="shared" si="142"/>
        <v>26.185178629144307</v>
      </c>
      <c r="AD162" s="93">
        <f t="shared" si="143"/>
        <v>13.092589314572153</v>
      </c>
      <c r="AE162" s="93">
        <f t="shared" si="144"/>
        <v>30</v>
      </c>
      <c r="AF162" s="90">
        <f t="shared" si="145"/>
        <v>16.907410685427848</v>
      </c>
      <c r="AG162" s="91">
        <f t="shared" si="146"/>
        <v>1.2913725680381474</v>
      </c>
      <c r="AH162" s="92">
        <f t="shared" si="147"/>
        <v>60</v>
      </c>
    </row>
    <row r="163" spans="1:34" x14ac:dyDescent="0.3">
      <c r="A163" s="223"/>
      <c r="B163" s="4" t="str">
        <f t="shared" ref="B163:J163" si="159">+B134</f>
        <v>ORTO</v>
      </c>
      <c r="C163" s="4" t="str">
        <f t="shared" si="159"/>
        <v>Caraffa colonna dritta</v>
      </c>
      <c r="D163" s="5">
        <f t="shared" si="159"/>
        <v>2</v>
      </c>
      <c r="E163" s="5">
        <f t="shared" si="159"/>
        <v>1</v>
      </c>
      <c r="F163" s="5">
        <f t="shared" si="159"/>
        <v>1.4</v>
      </c>
      <c r="G163" s="5">
        <f t="shared" si="159"/>
        <v>100</v>
      </c>
      <c r="H163" s="4">
        <f t="shared" si="159"/>
        <v>3.2796365999999998E-4</v>
      </c>
      <c r="I163" s="6">
        <f t="shared" si="159"/>
        <v>0.91101016666666657</v>
      </c>
      <c r="J163" s="6">
        <f t="shared" si="159"/>
        <v>0.81990914999999998</v>
      </c>
      <c r="R163" s="5">
        <f>+'Project Orto'!R93</f>
        <v>2</v>
      </c>
      <c r="S163" s="6">
        <f>+'Project Orto'!S93</f>
        <v>200</v>
      </c>
      <c r="T163" s="6">
        <f>+'Project Orto'!T93</f>
        <v>1.8220203333333331</v>
      </c>
      <c r="U163" s="6">
        <f>+'Project Orto'!U93</f>
        <v>1.6398183</v>
      </c>
      <c r="V163" s="81">
        <f>+'Project Orto'!V93</f>
        <v>1.6924236646373332</v>
      </c>
      <c r="W163" s="82">
        <f>+'Project Orto'!W93</f>
        <v>1.1132726438699999E-2</v>
      </c>
      <c r="X163" s="82">
        <f>+'Project Orto'!X93</f>
        <v>31.500000000000007</v>
      </c>
      <c r="Y163" s="82">
        <f>+'Project Orto'!Y93</f>
        <v>11.776061776061777</v>
      </c>
      <c r="Z163" s="82">
        <f>+'Project Orto'!Z93</f>
        <v>0.53113267190476188</v>
      </c>
      <c r="AA163" s="82">
        <f>+'Project Orto'!AA93</f>
        <v>0.21121095246454188</v>
      </c>
      <c r="AB163" s="82">
        <f>+'Project Orto'!AB93</f>
        <v>0</v>
      </c>
      <c r="AC163" s="83">
        <f t="shared" si="142"/>
        <v>45.72196179150712</v>
      </c>
      <c r="AD163" s="93">
        <f t="shared" si="143"/>
        <v>22.86098089575356</v>
      </c>
      <c r="AE163" s="93">
        <f t="shared" si="144"/>
        <v>30</v>
      </c>
      <c r="AF163" s="90">
        <f t="shared" si="145"/>
        <v>7.1390191042464402</v>
      </c>
      <c r="AG163" s="91">
        <f t="shared" si="146"/>
        <v>0.31227964962660537</v>
      </c>
      <c r="AH163" s="92">
        <f t="shared" si="147"/>
        <v>60</v>
      </c>
    </row>
    <row r="164" spans="1:34" x14ac:dyDescent="0.3">
      <c r="A164" s="223"/>
      <c r="B164" s="4" t="str">
        <f t="shared" ref="B164:J164" si="160">+B135</f>
        <v>ORTO</v>
      </c>
      <c r="C164" s="4" t="str">
        <f t="shared" si="160"/>
        <v>Caraffa colonna twist1</v>
      </c>
      <c r="D164" s="5">
        <f t="shared" si="160"/>
        <v>2</v>
      </c>
      <c r="E164" s="5">
        <f t="shared" si="160"/>
        <v>1</v>
      </c>
      <c r="F164" s="5">
        <f t="shared" si="160"/>
        <v>1.41</v>
      </c>
      <c r="G164" s="5">
        <f t="shared" si="160"/>
        <v>101</v>
      </c>
      <c r="H164" s="4">
        <f t="shared" si="160"/>
        <v>3.323221E-4</v>
      </c>
      <c r="I164" s="6">
        <f t="shared" si="160"/>
        <v>0.92311694444444448</v>
      </c>
      <c r="J164" s="6">
        <f t="shared" si="160"/>
        <v>0.83080525000000005</v>
      </c>
      <c r="R164" s="5">
        <f>+'Project Orto'!R94</f>
        <v>2</v>
      </c>
      <c r="S164" s="6">
        <f>+'Project Orto'!S94</f>
        <v>202</v>
      </c>
      <c r="T164" s="6">
        <f>+'Project Orto'!T94</f>
        <v>1.846233888888889</v>
      </c>
      <c r="U164" s="6">
        <f>+'Project Orto'!U94</f>
        <v>1.6616105000000001</v>
      </c>
      <c r="V164" s="81">
        <f>+'Project Orto'!V94</f>
        <v>1.7093479012837065</v>
      </c>
      <c r="W164" s="82">
        <f>+'Project Orto'!W94</f>
        <v>1.12806736845E-2</v>
      </c>
      <c r="X164" s="82">
        <f>+'Project Orto'!X94</f>
        <v>31.815000000000005</v>
      </c>
      <c r="Y164" s="82">
        <f>+'Project Orto'!Y94</f>
        <v>11.893822393822393</v>
      </c>
      <c r="Z164" s="82">
        <f>+'Project Orto'!Z94</f>
        <v>0.53644399862380954</v>
      </c>
      <c r="AA164" s="82">
        <f>+'Project Orto'!AA94</f>
        <v>0.21401781912671894</v>
      </c>
      <c r="AB164" s="82">
        <f>+'Project Orto'!AB94</f>
        <v>0</v>
      </c>
      <c r="AC164" s="83">
        <f t="shared" si="142"/>
        <v>46.179912786541131</v>
      </c>
      <c r="AD164" s="93">
        <f t="shared" si="143"/>
        <v>23.089956393270565</v>
      </c>
      <c r="AE164" s="93">
        <f t="shared" si="144"/>
        <v>30</v>
      </c>
      <c r="AF164" s="90">
        <f t="shared" si="145"/>
        <v>6.9100436067294346</v>
      </c>
      <c r="AG164" s="91">
        <f t="shared" si="146"/>
        <v>0.29926620427673595</v>
      </c>
      <c r="AH164" s="92">
        <f t="shared" si="147"/>
        <v>60</v>
      </c>
    </row>
    <row r="165" spans="1:34" x14ac:dyDescent="0.3">
      <c r="A165" s="223"/>
      <c r="B165" s="4" t="str">
        <f t="shared" ref="B165:J165" si="161">+B136</f>
        <v>ORTO</v>
      </c>
      <c r="C165" s="4" t="str">
        <f t="shared" si="161"/>
        <v>Caraffa colonna twist2</v>
      </c>
      <c r="D165" s="5">
        <f t="shared" si="161"/>
        <v>2</v>
      </c>
      <c r="E165" s="5">
        <f t="shared" si="161"/>
        <v>1</v>
      </c>
      <c r="F165" s="5">
        <f t="shared" si="161"/>
        <v>1.45</v>
      </c>
      <c r="G165" s="5">
        <f t="shared" si="161"/>
        <v>105</v>
      </c>
      <c r="H165" s="4">
        <f t="shared" si="161"/>
        <v>3.4271101000000001E-4</v>
      </c>
      <c r="I165" s="6">
        <f t="shared" si="161"/>
        <v>0.95197502777777776</v>
      </c>
      <c r="J165" s="6">
        <f t="shared" si="161"/>
        <v>0.85677752500000004</v>
      </c>
      <c r="R165" s="5">
        <f>+'Project Orto'!R95</f>
        <v>2</v>
      </c>
      <c r="S165" s="6">
        <f>+'Project Orto'!S95</f>
        <v>210</v>
      </c>
      <c r="T165" s="6">
        <f>+'Project Orto'!T95</f>
        <v>1.9039500555555555</v>
      </c>
      <c r="U165" s="6">
        <f>+'Project Orto'!U95</f>
        <v>1.7135550500000001</v>
      </c>
      <c r="V165" s="81">
        <f>+'Project Orto'!V95</f>
        <v>1.7770448478691998</v>
      </c>
      <c r="W165" s="82">
        <f>+'Project Orto'!W95</f>
        <v>1.1633325234450001E-2</v>
      </c>
      <c r="X165" s="82">
        <f>+'Project Orto'!X95</f>
        <v>33.075000000000003</v>
      </c>
      <c r="Y165" s="82">
        <f>+'Project Orto'!Y95</f>
        <v>12.364864864864865</v>
      </c>
      <c r="Z165" s="82">
        <f>+'Project Orto'!Z95</f>
        <v>0.55768930550000007</v>
      </c>
      <c r="AA165" s="82">
        <f>+'Project Orto'!AA95</f>
        <v>0.22070835177953907</v>
      </c>
      <c r="AB165" s="82">
        <f>+'Project Orto'!AB95</f>
        <v>0</v>
      </c>
      <c r="AC165" s="83">
        <f t="shared" si="142"/>
        <v>48.006940695248055</v>
      </c>
      <c r="AD165" s="93">
        <f t="shared" si="143"/>
        <v>24.003470347624027</v>
      </c>
      <c r="AE165" s="93">
        <f t="shared" si="144"/>
        <v>30</v>
      </c>
      <c r="AF165" s="90">
        <f t="shared" si="145"/>
        <v>5.9965296523759726</v>
      </c>
      <c r="AG165" s="91">
        <f t="shared" si="146"/>
        <v>0.24981927885979771</v>
      </c>
      <c r="AH165" s="92">
        <f t="shared" si="147"/>
        <v>60</v>
      </c>
    </row>
    <row r="166" spans="1:34" x14ac:dyDescent="0.3">
      <c r="A166" s="223"/>
      <c r="B166" s="4" t="str">
        <f t="shared" ref="B166:J166" si="162">+B137</f>
        <v>ORTO</v>
      </c>
      <c r="C166" s="4" t="str">
        <f t="shared" si="162"/>
        <v>Caraffa colonna twist3</v>
      </c>
      <c r="D166" s="5">
        <f t="shared" si="162"/>
        <v>2</v>
      </c>
      <c r="E166" s="5">
        <f t="shared" si="162"/>
        <v>1</v>
      </c>
      <c r="F166" s="5">
        <f t="shared" si="162"/>
        <v>1.42</v>
      </c>
      <c r="G166" s="5">
        <f t="shared" si="162"/>
        <v>102</v>
      </c>
      <c r="H166" s="4">
        <f t="shared" si="162"/>
        <v>3.3727121999999998E-4</v>
      </c>
      <c r="I166" s="6">
        <f t="shared" si="162"/>
        <v>0.93686449999999988</v>
      </c>
      <c r="J166" s="6">
        <f t="shared" si="162"/>
        <v>0.8431780499999999</v>
      </c>
      <c r="R166" s="5">
        <f>+'Project Orto'!R96</f>
        <v>2</v>
      </c>
      <c r="S166" s="6">
        <f>+'Project Orto'!S96</f>
        <v>204</v>
      </c>
      <c r="T166" s="6">
        <f>+'Project Orto'!T96</f>
        <v>1.8737289999999998</v>
      </c>
      <c r="U166" s="6">
        <f>+'Project Orto'!U96</f>
        <v>1.6863560999999998</v>
      </c>
      <c r="V166" s="81">
        <f>+'Project Orto'!V96</f>
        <v>1.7262721379300801</v>
      </c>
      <c r="W166" s="82">
        <f>+'Project Orto'!W96</f>
        <v>1.1448671562899998E-2</v>
      </c>
      <c r="X166" s="82">
        <f>+'Project Orto'!X96</f>
        <v>32.130000000000003</v>
      </c>
      <c r="Y166" s="82">
        <f>+'Project Orto'!Y96</f>
        <v>12.011583011583012</v>
      </c>
      <c r="Z166" s="82">
        <f>+'Project Orto'!Z96</f>
        <v>0.5417553253428572</v>
      </c>
      <c r="AA166" s="82">
        <f>+'Project Orto'!AA96</f>
        <v>0.21720508795114082</v>
      </c>
      <c r="AB166" s="82">
        <f>+'Project Orto'!AB96</f>
        <v>0</v>
      </c>
      <c r="AC166" s="83">
        <f t="shared" si="142"/>
        <v>46.638264234369991</v>
      </c>
      <c r="AD166" s="93">
        <f t="shared" si="143"/>
        <v>23.319132117184996</v>
      </c>
      <c r="AE166" s="93">
        <f t="shared" si="144"/>
        <v>30</v>
      </c>
      <c r="AF166" s="90">
        <f t="shared" si="145"/>
        <v>6.6808678828150043</v>
      </c>
      <c r="AG166" s="91">
        <f t="shared" si="146"/>
        <v>0.28649727825383131</v>
      </c>
      <c r="AH166" s="92">
        <f t="shared" si="147"/>
        <v>60</v>
      </c>
    </row>
    <row r="167" spans="1:34" x14ac:dyDescent="0.3">
      <c r="A167" s="223"/>
      <c r="B167" s="4" t="str">
        <f t="shared" ref="B167:J167" si="163">+B138</f>
        <v>ORTO</v>
      </c>
      <c r="C167" s="4" t="str">
        <f t="shared" si="163"/>
        <v>Bicchiere colonna twist1</v>
      </c>
      <c r="D167" s="5">
        <f t="shared" si="163"/>
        <v>1</v>
      </c>
      <c r="E167" s="5">
        <f t="shared" si="163"/>
        <v>1</v>
      </c>
      <c r="F167" s="5">
        <f t="shared" si="163"/>
        <v>0.57999999999999996</v>
      </c>
      <c r="G167" s="5">
        <f t="shared" si="163"/>
        <v>58</v>
      </c>
      <c r="H167" s="4">
        <f t="shared" si="163"/>
        <v>9.7981700000000004E-5</v>
      </c>
      <c r="I167" s="6">
        <f t="shared" si="163"/>
        <v>0.27217138888888892</v>
      </c>
      <c r="J167" s="6">
        <f t="shared" si="163"/>
        <v>0.24495425000000001</v>
      </c>
      <c r="R167" s="5">
        <f>+'Project Orto'!R97</f>
        <v>12</v>
      </c>
      <c r="S167" s="6">
        <f>+'Project Orto'!S97</f>
        <v>696</v>
      </c>
      <c r="T167" s="6">
        <f>+'Project Orto'!T97</f>
        <v>3.2660566666666671</v>
      </c>
      <c r="U167" s="6">
        <f>+'Project Orto'!U97</f>
        <v>2.939451</v>
      </c>
      <c r="V167" s="81">
        <f>+'Project Orto'!V97</f>
        <v>5.8896343529379198</v>
      </c>
      <c r="W167" s="82">
        <f>+'Project Orto'!W97</f>
        <v>1.9955932839000001E-2</v>
      </c>
      <c r="X167" s="82">
        <f>+'Project Orto'!X97</f>
        <v>109.62000000000002</v>
      </c>
      <c r="Y167" s="82">
        <f>+'Project Orto'!Y97</f>
        <v>40.980694980694977</v>
      </c>
      <c r="Z167" s="82">
        <f>+'Project Orto'!Z97</f>
        <v>1.8483416982285714</v>
      </c>
      <c r="AA167" s="82">
        <f>+'Project Orto'!AA97</f>
        <v>0.37860551100865886</v>
      </c>
      <c r="AB167" s="82">
        <f>+'Project Orto'!AB97</f>
        <v>0</v>
      </c>
      <c r="AC167" s="83">
        <f t="shared" si="142"/>
        <v>158.73723247570913</v>
      </c>
      <c r="AD167" s="93">
        <f t="shared" si="143"/>
        <v>13.228102706309095</v>
      </c>
      <c r="AE167" s="93">
        <f t="shared" si="144"/>
        <v>15</v>
      </c>
      <c r="AF167" s="90">
        <f t="shared" si="145"/>
        <v>1.7718972936909054</v>
      </c>
      <c r="AG167" s="91">
        <f t="shared" si="146"/>
        <v>0.13394946599906618</v>
      </c>
      <c r="AH167" s="92">
        <f t="shared" si="147"/>
        <v>180</v>
      </c>
    </row>
    <row r="168" spans="1:34" x14ac:dyDescent="0.3">
      <c r="A168" s="223"/>
      <c r="B168" s="4" t="str">
        <f t="shared" ref="B168:J168" si="164">+B139</f>
        <v>ORTO</v>
      </c>
      <c r="C168" s="4" t="str">
        <f t="shared" si="164"/>
        <v>Bicchiere colonna twist2</v>
      </c>
      <c r="D168" s="5">
        <f t="shared" si="164"/>
        <v>1</v>
      </c>
      <c r="E168" s="5">
        <f t="shared" si="164"/>
        <v>1</v>
      </c>
      <c r="F168" s="5">
        <f t="shared" si="164"/>
        <v>0.59</v>
      </c>
      <c r="G168" s="5">
        <f t="shared" si="164"/>
        <v>59</v>
      </c>
      <c r="H168" s="4">
        <f t="shared" si="164"/>
        <v>9.7982366999999995E-5</v>
      </c>
      <c r="I168" s="6">
        <f t="shared" si="164"/>
        <v>0.27217324166666662</v>
      </c>
      <c r="J168" s="6">
        <f t="shared" si="164"/>
        <v>0.24495591749999998</v>
      </c>
      <c r="R168" s="5">
        <f>+'Project Orto'!R98</f>
        <v>12</v>
      </c>
      <c r="S168" s="6">
        <f>+'Project Orto'!S98</f>
        <v>708</v>
      </c>
      <c r="T168" s="6">
        <f>+'Project Orto'!T98</f>
        <v>3.2660788999999992</v>
      </c>
      <c r="U168" s="6">
        <f>+'Project Orto'!U98</f>
        <v>2.9394710099999997</v>
      </c>
      <c r="V168" s="81">
        <f>+'Project Orto'!V98</f>
        <v>5.9911797728161593</v>
      </c>
      <c r="W168" s="82">
        <f>+'Project Orto'!W98</f>
        <v>1.9956068686889997E-2</v>
      </c>
      <c r="X168" s="82">
        <f>+'Project Orto'!X98</f>
        <v>111.51000000000002</v>
      </c>
      <c r="Y168" s="82">
        <f>+'Project Orto'!Y98</f>
        <v>41.687258687258691</v>
      </c>
      <c r="Z168" s="82">
        <f>+'Project Orto'!Z98</f>
        <v>1.8802096585428572</v>
      </c>
      <c r="AA168" s="82">
        <f>+'Project Orto'!AA98</f>
        <v>0.37860808832540094</v>
      </c>
      <c r="AB168" s="82">
        <f>+'Project Orto'!AB98</f>
        <v>0</v>
      </c>
      <c r="AC168" s="83">
        <f t="shared" si="142"/>
        <v>161.46721227563</v>
      </c>
      <c r="AD168" s="93">
        <f t="shared" si="143"/>
        <v>13.455601022969168</v>
      </c>
      <c r="AE168" s="93">
        <f t="shared" si="144"/>
        <v>15</v>
      </c>
      <c r="AF168" s="90">
        <f t="shared" si="145"/>
        <v>1.5443989770308324</v>
      </c>
      <c r="AG168" s="91">
        <f t="shared" si="146"/>
        <v>0.11477740566136667</v>
      </c>
      <c r="AH168" s="92">
        <f t="shared" si="147"/>
        <v>180</v>
      </c>
    </row>
    <row r="169" spans="1:34" x14ac:dyDescent="0.3">
      <c r="A169" s="223"/>
      <c r="B169" s="4" t="str">
        <f t="shared" ref="B169:J169" si="165">+B140</f>
        <v>ORTO</v>
      </c>
      <c r="C169" s="4" t="str">
        <f t="shared" si="165"/>
        <v>Bicchiere colonna twist3</v>
      </c>
      <c r="D169" s="5">
        <f t="shared" si="165"/>
        <v>1</v>
      </c>
      <c r="E169" s="5">
        <f t="shared" si="165"/>
        <v>1</v>
      </c>
      <c r="F169" s="5">
        <f t="shared" si="165"/>
        <v>0.59</v>
      </c>
      <c r="G169" s="5">
        <f t="shared" si="165"/>
        <v>59</v>
      </c>
      <c r="H169" s="4">
        <f t="shared" si="165"/>
        <v>9.7984652999999995E-5</v>
      </c>
      <c r="I169" s="6">
        <f t="shared" si="165"/>
        <v>0.27217959166666666</v>
      </c>
      <c r="J169" s="6">
        <f t="shared" si="165"/>
        <v>0.2449616325</v>
      </c>
      <c r="R169" s="5">
        <f>+'Project Orto'!R99</f>
        <v>12</v>
      </c>
      <c r="S169" s="6">
        <f>+'Project Orto'!S99</f>
        <v>708</v>
      </c>
      <c r="T169" s="6">
        <f>+'Project Orto'!T99</f>
        <v>3.2661550999999998</v>
      </c>
      <c r="U169" s="6">
        <f>+'Project Orto'!U99</f>
        <v>2.9395395899999999</v>
      </c>
      <c r="V169" s="81">
        <f>+'Project Orto'!V99</f>
        <v>5.9911797728161593</v>
      </c>
      <c r="W169" s="82">
        <f>+'Project Orto'!W99</f>
        <v>1.995653427651E-2</v>
      </c>
      <c r="X169" s="82">
        <f>+'Project Orto'!X99</f>
        <v>111.51000000000002</v>
      </c>
      <c r="Y169" s="82">
        <f>+'Project Orto'!Y99</f>
        <v>41.687258687258691</v>
      </c>
      <c r="Z169" s="82">
        <f>+'Project Orto'!Z99</f>
        <v>1.8802096585428572</v>
      </c>
      <c r="AA169" s="82">
        <f>+'Project Orto'!AA99</f>
        <v>0.37861692152790888</v>
      </c>
      <c r="AB169" s="82">
        <f>+'Project Orto'!AB99</f>
        <v>0</v>
      </c>
      <c r="AC169" s="83">
        <f t="shared" si="142"/>
        <v>161.46722157442215</v>
      </c>
      <c r="AD169" s="93">
        <f t="shared" si="143"/>
        <v>13.455601797868512</v>
      </c>
      <c r="AE169" s="93">
        <f t="shared" si="144"/>
        <v>15</v>
      </c>
      <c r="AF169" s="90">
        <f t="shared" si="145"/>
        <v>1.5443982021314877</v>
      </c>
      <c r="AG169" s="91">
        <f t="shared" si="146"/>
        <v>0.11477734146206187</v>
      </c>
      <c r="AH169" s="92">
        <f t="shared" si="147"/>
        <v>180</v>
      </c>
    </row>
    <row r="170" spans="1:34" x14ac:dyDescent="0.3">
      <c r="A170" s="223"/>
      <c r="B170" s="4" t="str">
        <f t="shared" ref="B170:J170" si="166">+B141</f>
        <v>ORTO</v>
      </c>
      <c r="C170" s="4" t="str">
        <f t="shared" si="166"/>
        <v>Bicchiere colonna twist alto</v>
      </c>
      <c r="D170" s="5">
        <f t="shared" si="166"/>
        <v>1</v>
      </c>
      <c r="E170" s="5">
        <f t="shared" si="166"/>
        <v>1</v>
      </c>
      <c r="F170" s="5">
        <f t="shared" si="166"/>
        <v>0.57999999999999996</v>
      </c>
      <c r="G170" s="5">
        <f t="shared" si="166"/>
        <v>58</v>
      </c>
      <c r="H170" s="4">
        <f t="shared" si="166"/>
        <v>9.4065272999999995E-5</v>
      </c>
      <c r="I170" s="6">
        <f t="shared" si="166"/>
        <v>0.26129242499999999</v>
      </c>
      <c r="J170" s="6">
        <f t="shared" si="166"/>
        <v>0.23516318249999998</v>
      </c>
      <c r="R170" s="5">
        <f>+'Project Orto'!R100</f>
        <v>12</v>
      </c>
      <c r="S170" s="6">
        <f>+'Project Orto'!S100</f>
        <v>696</v>
      </c>
      <c r="T170" s="6">
        <f>+'Project Orto'!T100</f>
        <v>3.1355091000000002</v>
      </c>
      <c r="U170" s="6">
        <f>+'Project Orto'!U100</f>
        <v>2.8219581899999997</v>
      </c>
      <c r="V170" s="81">
        <f>+'Project Orto'!V100</f>
        <v>5.8896343529379198</v>
      </c>
      <c r="W170" s="82">
        <f>+'Project Orto'!W100</f>
        <v>1.9158274151909998E-2</v>
      </c>
      <c r="X170" s="82">
        <f>+'Project Orto'!X100</f>
        <v>109.62000000000002</v>
      </c>
      <c r="Y170" s="82">
        <f>+'Project Orto'!Y100</f>
        <v>40.980694980694977</v>
      </c>
      <c r="Z170" s="82">
        <f>+'Project Orto'!Z100</f>
        <v>1.8483416982285714</v>
      </c>
      <c r="AA170" s="82">
        <f>+'Project Orto'!AA100</f>
        <v>0.36347226831473628</v>
      </c>
      <c r="AB170" s="82">
        <f>+'Project Orto'!AB100</f>
        <v>0</v>
      </c>
      <c r="AC170" s="83">
        <f t="shared" si="142"/>
        <v>158.72130157432812</v>
      </c>
      <c r="AD170" s="93">
        <f t="shared" si="143"/>
        <v>13.22677513119401</v>
      </c>
      <c r="AE170" s="93">
        <f t="shared" si="144"/>
        <v>15</v>
      </c>
      <c r="AF170" s="90">
        <f t="shared" si="145"/>
        <v>1.7732248688059897</v>
      </c>
      <c r="AG170" s="91">
        <f t="shared" si="146"/>
        <v>0.13406328082376015</v>
      </c>
      <c r="AH170" s="92">
        <f t="shared" si="147"/>
        <v>180</v>
      </c>
    </row>
    <row r="171" spans="1:34" x14ac:dyDescent="0.3">
      <c r="A171" s="223"/>
      <c r="B171" s="4" t="str">
        <f t="shared" ref="B171:J171" si="167">+B142</f>
        <v>LA GALLINA</v>
      </c>
      <c r="C171" s="4" t="str">
        <f t="shared" si="167"/>
        <v>Oliera1</v>
      </c>
      <c r="D171" s="5">
        <f t="shared" si="167"/>
        <v>2</v>
      </c>
      <c r="E171" s="5">
        <f t="shared" si="167"/>
        <v>1</v>
      </c>
      <c r="F171" s="5">
        <f t="shared" si="167"/>
        <v>0.54</v>
      </c>
      <c r="G171" s="5">
        <f t="shared" si="167"/>
        <v>54</v>
      </c>
      <c r="H171" s="4">
        <f t="shared" si="167"/>
        <v>1.830542E-4</v>
      </c>
      <c r="I171" s="6">
        <f t="shared" si="167"/>
        <v>0.50848388888888885</v>
      </c>
      <c r="J171" s="6">
        <f t="shared" si="167"/>
        <v>0.45763549999999997</v>
      </c>
      <c r="R171" s="5">
        <f>+'Project La Gallina'!R45</f>
        <v>10</v>
      </c>
      <c r="S171" s="6">
        <f>+'Project La Gallina'!S45</f>
        <v>540</v>
      </c>
      <c r="T171" s="6">
        <f>+'Project La Gallina'!T45</f>
        <v>5.0848388888888882</v>
      </c>
      <c r="U171" s="6">
        <f>+'Project La Gallina'!U45</f>
        <v>4.5763549999999995</v>
      </c>
      <c r="V171" s="81">
        <f>+'Project La Gallina'!V45</f>
        <v>4.5695438945208</v>
      </c>
      <c r="W171" s="82">
        <f>+'Project La Gallina'!W45</f>
        <v>3.1068874094999997E-2</v>
      </c>
      <c r="X171" s="82">
        <f>+'Project La Gallina'!X45</f>
        <v>85.050000000000011</v>
      </c>
      <c r="Y171" s="82">
        <f>+'Project La Gallina'!Y45</f>
        <v>31.795366795366796</v>
      </c>
      <c r="Z171" s="82">
        <f>+'Project La Gallina'!Z45</f>
        <v>1.2857142857142856</v>
      </c>
      <c r="AA171" s="82">
        <f>+'Project La Gallina'!AA45</f>
        <v>0.5894410974471187</v>
      </c>
      <c r="AB171" s="82">
        <f>+'Project La Gallina'!AB45</f>
        <v>0</v>
      </c>
      <c r="AC171" s="83">
        <f t="shared" si="142"/>
        <v>123.32113494714402</v>
      </c>
      <c r="AD171" s="93">
        <f t="shared" si="143"/>
        <v>12.332113494714402</v>
      </c>
      <c r="AE171" s="93">
        <f t="shared" si="144"/>
        <v>20</v>
      </c>
      <c r="AF171" s="90">
        <f t="shared" si="145"/>
        <v>7.6678865052855976</v>
      </c>
      <c r="AG171" s="91">
        <f t="shared" si="146"/>
        <v>0.62178202532534976</v>
      </c>
      <c r="AH171" s="92">
        <f t="shared" si="147"/>
        <v>200</v>
      </c>
    </row>
    <row r="172" spans="1:34" ht="15" thickBot="1" x14ac:dyDescent="0.35">
      <c r="A172" s="224"/>
      <c r="B172" s="4" t="str">
        <f t="shared" ref="B172:J172" si="168">+B143</f>
        <v>LA GALLINA</v>
      </c>
      <c r="C172" s="4" t="str">
        <f t="shared" si="168"/>
        <v>Piatto spirale</v>
      </c>
      <c r="D172" s="5">
        <f t="shared" si="168"/>
        <v>4</v>
      </c>
      <c r="E172" s="5">
        <f t="shared" si="168"/>
        <v>5</v>
      </c>
      <c r="F172" s="5">
        <f t="shared" si="168"/>
        <v>0.25</v>
      </c>
      <c r="G172" s="5">
        <f t="shared" si="168"/>
        <v>25</v>
      </c>
      <c r="H172" s="4">
        <f t="shared" si="168"/>
        <v>1.575448E-4</v>
      </c>
      <c r="I172" s="6">
        <f t="shared" si="168"/>
        <v>0.43762444444444443</v>
      </c>
      <c r="J172" s="6">
        <f t="shared" si="168"/>
        <v>0.39386199999999999</v>
      </c>
      <c r="R172" s="5">
        <f>+'Project La Gallina'!R46</f>
        <v>10</v>
      </c>
      <c r="S172" s="6">
        <f>+'Project La Gallina'!S46</f>
        <v>250</v>
      </c>
      <c r="T172" s="6">
        <f>+'Project La Gallina'!T46</f>
        <v>4.3762444444444446</v>
      </c>
      <c r="U172" s="6">
        <f>+'Project La Gallina'!U46</f>
        <v>3.9386199999999998</v>
      </c>
      <c r="V172" s="84">
        <f>+'Project La Gallina'!V46</f>
        <v>2.1155295807966668</v>
      </c>
      <c r="W172" s="85">
        <f>+'Project La Gallina'!W46</f>
        <v>2.6739291179999999E-2</v>
      </c>
      <c r="X172" s="85">
        <f>+'Project La Gallina'!X46</f>
        <v>39.375000000000007</v>
      </c>
      <c r="Y172" s="85">
        <f>+'Project La Gallina'!Y46</f>
        <v>14.72007722007722</v>
      </c>
      <c r="Z172" s="85">
        <f>+'Project La Gallina'!Z46</f>
        <v>0.59523809523809523</v>
      </c>
      <c r="AA172" s="85">
        <f>+'Project La Gallina'!AA46</f>
        <v>0.50729991340863434</v>
      </c>
      <c r="AB172" s="85">
        <f>+'Project La Gallina'!AB46</f>
        <v>0</v>
      </c>
      <c r="AC172" s="83">
        <f t="shared" si="142"/>
        <v>57.33988410070063</v>
      </c>
      <c r="AD172" s="93">
        <f t="shared" si="143"/>
        <v>5.7339884100700633</v>
      </c>
      <c r="AE172" s="93">
        <f t="shared" si="144"/>
        <v>15</v>
      </c>
      <c r="AF172" s="90">
        <f t="shared" si="145"/>
        <v>9.2660115899299367</v>
      </c>
      <c r="AG172" s="91">
        <f t="shared" si="146"/>
        <v>1.6159801742286248</v>
      </c>
      <c r="AH172" s="92">
        <f t="shared" si="147"/>
        <v>150</v>
      </c>
    </row>
    <row r="175" spans="1:34" ht="18.600000000000001" thickBot="1" x14ac:dyDescent="0.4">
      <c r="D175" s="237" t="s">
        <v>40</v>
      </c>
      <c r="E175" s="237"/>
      <c r="F175" s="237"/>
      <c r="G175" s="23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10" t="s">
        <v>32</v>
      </c>
      <c r="S175" s="87">
        <f>+S177/60/7</f>
        <v>20.461904761904758</v>
      </c>
      <c r="T175" s="88" t="s">
        <v>83</v>
      </c>
    </row>
    <row r="176" spans="1:34" x14ac:dyDescent="0.3">
      <c r="D176" s="236" t="s">
        <v>33</v>
      </c>
      <c r="E176" s="236"/>
      <c r="F176" s="236"/>
      <c r="G176" s="236"/>
      <c r="H176" s="236"/>
      <c r="I176" s="236"/>
      <c r="J176" s="236"/>
      <c r="M176" s="236" t="s">
        <v>36</v>
      </c>
      <c r="N176" s="236"/>
      <c r="O176" s="236"/>
      <c r="P176" s="236"/>
      <c r="Q176" s="236"/>
      <c r="V176" s="238" t="s">
        <v>135</v>
      </c>
      <c r="W176" s="239"/>
      <c r="X176" s="239"/>
      <c r="Y176" s="239"/>
      <c r="Z176" s="239"/>
      <c r="AA176" s="239"/>
      <c r="AB176" s="239"/>
      <c r="AC176" s="240"/>
    </row>
    <row r="177" spans="1:35" ht="18" x14ac:dyDescent="0.35">
      <c r="B177" s="178" t="s">
        <v>465</v>
      </c>
      <c r="F177" s="225" t="s">
        <v>44</v>
      </c>
      <c r="G177" s="225"/>
      <c r="I177" s="20">
        <f>SUBTOTAL(9,I179:I201)</f>
        <v>59.570075669444442</v>
      </c>
      <c r="J177" s="20">
        <f>SUBTOTAL(9,J179:J201)</f>
        <v>53.613068102499987</v>
      </c>
      <c r="K177" s="1">
        <f>+'Finished goods'!$I$3</f>
        <v>2500</v>
      </c>
      <c r="L177" s="1">
        <f>+'Finished goods'!$J$3</f>
        <v>0.9</v>
      </c>
      <c r="M177" s="15">
        <f>+'Finished goods'!$K$3</f>
        <v>0.50772709939119998</v>
      </c>
      <c r="N177" s="15">
        <f>+'Finished goods'!$L$3</f>
        <v>6.7889999999999999E-3</v>
      </c>
      <c r="O177" s="13">
        <f>+'Finished goods'!$M$3</f>
        <v>0.15750000000000003</v>
      </c>
      <c r="P177" s="46">
        <f>+'Finished goods'!$N$3</f>
        <v>5.8880308880308881E-2</v>
      </c>
      <c r="Q177" s="1"/>
      <c r="S177" s="17">
        <f>SUBTOTAL(9,S179:S201)</f>
        <v>8594</v>
      </c>
      <c r="T177" s="17">
        <f>SUBTOTAL(9,T179:T201)</f>
        <v>162.95047083611109</v>
      </c>
      <c r="U177" s="75">
        <f>SUBTOTAL(9,U179:U201)</f>
        <v>146.65542375250001</v>
      </c>
      <c r="V177" s="77">
        <f t="shared" ref="V177:AC177" si="169">SUBTOTAL(9,V179:V201)</f>
        <v>72.723444869466206</v>
      </c>
      <c r="W177" s="17">
        <f t="shared" si="169"/>
        <v>0.99564367185572245</v>
      </c>
      <c r="X177" s="17">
        <f t="shared" si="169"/>
        <v>1353.5550000000003</v>
      </c>
      <c r="Y177" s="17">
        <f t="shared" si="169"/>
        <v>506.01737451737455</v>
      </c>
      <c r="Z177" s="17">
        <f t="shared" si="169"/>
        <v>22.605749238676189</v>
      </c>
      <c r="AA177" s="17">
        <f t="shared" si="169"/>
        <v>18.889429234236815</v>
      </c>
      <c r="AB177" s="17">
        <f t="shared" si="169"/>
        <v>468</v>
      </c>
      <c r="AC177" s="78">
        <f t="shared" si="169"/>
        <v>2442.7866415316093</v>
      </c>
      <c r="AF177" s="225" t="s">
        <v>118</v>
      </c>
      <c r="AG177" s="225"/>
      <c r="AH177" s="108">
        <f t="shared" ref="AH177" si="170">SUBTOTAL(9,AH179:AH201)</f>
        <v>8320</v>
      </c>
      <c r="AI177" s="95"/>
    </row>
    <row r="178" spans="1:35" x14ac:dyDescent="0.3">
      <c r="A178" s="1" t="s">
        <v>145</v>
      </c>
      <c r="B178" s="1" t="s">
        <v>30</v>
      </c>
      <c r="C178" s="1" t="s">
        <v>0</v>
      </c>
      <c r="D178" s="1" t="s">
        <v>4</v>
      </c>
      <c r="E178" s="1" t="s">
        <v>5</v>
      </c>
      <c r="F178" s="1" t="s">
        <v>45</v>
      </c>
      <c r="G178" s="1" t="s">
        <v>57</v>
      </c>
      <c r="H178" s="1" t="s">
        <v>6</v>
      </c>
      <c r="I178" s="1" t="s">
        <v>2</v>
      </c>
      <c r="J178" s="1" t="s">
        <v>7</v>
      </c>
      <c r="K178" s="1" t="s">
        <v>31</v>
      </c>
      <c r="L178" s="1" t="s">
        <v>8</v>
      </c>
      <c r="M178" s="1" t="s">
        <v>34</v>
      </c>
      <c r="N178" s="1" t="s">
        <v>35</v>
      </c>
      <c r="O178" s="1" t="s">
        <v>37</v>
      </c>
      <c r="P178" s="1" t="s">
        <v>93</v>
      </c>
      <c r="Q178" s="1" t="s">
        <v>94</v>
      </c>
      <c r="R178" s="11" t="s">
        <v>39</v>
      </c>
      <c r="S178" s="2" t="s">
        <v>43</v>
      </c>
      <c r="T178" s="2" t="s">
        <v>2</v>
      </c>
      <c r="U178" s="76" t="s">
        <v>7</v>
      </c>
      <c r="V178" s="2" t="str">
        <f>+V4</f>
        <v>energia €/h</v>
      </c>
      <c r="W178" s="2" t="str">
        <f t="shared" ref="W178:AB178" si="171">+W4</f>
        <v>materiale €/Kg</v>
      </c>
      <c r="X178" s="2" t="str">
        <f t="shared" si="171"/>
        <v>mod</v>
      </c>
      <c r="Y178" s="2" t="str">
        <f t="shared" si="171"/>
        <v>ammort</v>
      </c>
      <c r="Z178" s="2" t="str">
        <f t="shared" si="171"/>
        <v>Accensione</v>
      </c>
      <c r="AA178" s="2" t="str">
        <f t="shared" si="171"/>
        <v>trasporto</v>
      </c>
      <c r="AB178" s="2" t="str">
        <f t="shared" si="171"/>
        <v>forniture</v>
      </c>
      <c r="AC178" s="80" t="s">
        <v>42</v>
      </c>
      <c r="AD178" s="53" t="s">
        <v>116</v>
      </c>
      <c r="AE178" s="1" t="s">
        <v>117</v>
      </c>
      <c r="AF178" s="1" t="s">
        <v>119</v>
      </c>
      <c r="AG178" s="1" t="s">
        <v>120</v>
      </c>
      <c r="AH178" s="1" t="s">
        <v>121</v>
      </c>
    </row>
    <row r="179" spans="1:35" ht="14.4" customHeight="1" x14ac:dyDescent="0.3">
      <c r="A179" s="222" t="s">
        <v>417</v>
      </c>
      <c r="B179" s="4" t="str">
        <f>+B150</f>
        <v>OSTELLIERE</v>
      </c>
      <c r="C179" s="4" t="str">
        <f>+C150</f>
        <v>Tavolo twist Logo</v>
      </c>
      <c r="D179" s="5">
        <f>+D150</f>
        <v>8</v>
      </c>
      <c r="E179" s="5">
        <f>+E150</f>
        <v>10</v>
      </c>
      <c r="F179" s="5">
        <f>+F150</f>
        <v>1.22</v>
      </c>
      <c r="G179" s="5">
        <f t="shared" ref="G179:J179" si="172">+G150</f>
        <v>82</v>
      </c>
      <c r="H179" s="4">
        <f t="shared" si="172"/>
        <v>7.9769999999999997E-3</v>
      </c>
      <c r="I179" s="6">
        <f t="shared" si="172"/>
        <v>22.158333333333331</v>
      </c>
      <c r="J179" s="6">
        <f t="shared" si="172"/>
        <v>19.942499999999999</v>
      </c>
      <c r="R179" s="5">
        <f>+'Project Ostelliere'!R101</f>
        <v>2</v>
      </c>
      <c r="S179" s="6">
        <f>+'Project Ostelliere'!S101</f>
        <v>164</v>
      </c>
      <c r="T179" s="6">
        <f>+'Project Ostelliere'!T101</f>
        <v>44.316666666666663</v>
      </c>
      <c r="U179" s="6">
        <f>+'Project Ostelliere'!U101</f>
        <v>39.884999999999998</v>
      </c>
      <c r="V179" s="81">
        <f>+'Project Ostelliere'!V101</f>
        <v>1.3877874050026131</v>
      </c>
      <c r="W179" s="82">
        <f>+'Project Ostelliere'!W101</f>
        <v>0.27077926499999999</v>
      </c>
      <c r="X179" s="82">
        <f>+'Project Ostelliere'!X101</f>
        <v>25.830000000000005</v>
      </c>
      <c r="Y179" s="82">
        <f>+'Project Ostelliere'!Y101</f>
        <v>9.6563706563706564</v>
      </c>
      <c r="Z179" s="82">
        <f>+'Project Ostelliere'!Z101</f>
        <v>0.43552879096190478</v>
      </c>
      <c r="AA179" s="82">
        <f>+'Project Ostelliere'!AA101</f>
        <v>5.1372452905594805</v>
      </c>
      <c r="AB179" s="82">
        <f>+'Project Ostelliere'!AB101</f>
        <v>300</v>
      </c>
      <c r="AC179" s="83">
        <f>SUM(V179:AB179)</f>
        <v>342.71771140789463</v>
      </c>
      <c r="AD179" s="93">
        <f>+AC179/R179</f>
        <v>171.35885570394731</v>
      </c>
      <c r="AE179" s="93">
        <f>+AE150</f>
        <v>800</v>
      </c>
      <c r="AF179" s="90">
        <f>+AE179-AD179</f>
        <v>628.64114429605274</v>
      </c>
      <c r="AG179" s="91">
        <f>+AF179/AD179</f>
        <v>3.6685652557235873</v>
      </c>
      <c r="AH179" s="92">
        <f>+AE179*R179</f>
        <v>1600</v>
      </c>
    </row>
    <row r="180" spans="1:35" x14ac:dyDescent="0.3">
      <c r="A180" s="223"/>
      <c r="B180" s="4" t="str">
        <f t="shared" ref="B180:J180" si="173">+B151</f>
        <v>OSTELLIERE</v>
      </c>
      <c r="C180" s="4" t="str">
        <f t="shared" si="173"/>
        <v xml:space="preserve">Vaso bitorzolo curvo </v>
      </c>
      <c r="D180" s="5">
        <f t="shared" si="173"/>
        <v>4</v>
      </c>
      <c r="E180" s="5">
        <f t="shared" si="173"/>
        <v>2</v>
      </c>
      <c r="F180" s="5">
        <f t="shared" si="173"/>
        <v>5.21</v>
      </c>
      <c r="G180" s="5">
        <f t="shared" si="173"/>
        <v>321</v>
      </c>
      <c r="H180" s="4">
        <f t="shared" si="173"/>
        <v>6.0029599999999995E-4</v>
      </c>
      <c r="I180" s="6">
        <f t="shared" si="173"/>
        <v>1.6674888888888888</v>
      </c>
      <c r="J180" s="6">
        <f t="shared" si="173"/>
        <v>1.50074</v>
      </c>
      <c r="R180" s="5">
        <f>+'Project Ostelliere'!R102</f>
        <v>2</v>
      </c>
      <c r="S180" s="6">
        <f>+'Project Ostelliere'!S102</f>
        <v>642</v>
      </c>
      <c r="T180" s="6">
        <f>+'Project Ostelliere'!T102</f>
        <v>3.3349777777777776</v>
      </c>
      <c r="U180" s="6">
        <f>+'Project Ostelliere'!U102</f>
        <v>3.0014799999999999</v>
      </c>
      <c r="V180" s="81">
        <f>+'Project Ostelliere'!V102</f>
        <v>5.4326799634858398</v>
      </c>
      <c r="W180" s="82">
        <f>+'Project Ostelliere'!W102</f>
        <v>2.0377047719999999E-2</v>
      </c>
      <c r="X180" s="82">
        <f>+'Project Ostelliere'!X102</f>
        <v>101.11500000000002</v>
      </c>
      <c r="Y180" s="82">
        <f>+'Project Ostelliere'!Y102</f>
        <v>37.801158301158303</v>
      </c>
      <c r="Z180" s="82">
        <f>+'Project Ostelliere'!Z102</f>
        <v>1.7049358768142857</v>
      </c>
      <c r="AA180" s="82">
        <f>+'Project Ostelliere'!AA102</f>
        <v>0.38659493530671857</v>
      </c>
      <c r="AB180" s="82">
        <f>+'Project Ostelliere'!AB102</f>
        <v>0</v>
      </c>
      <c r="AC180" s="83">
        <f t="shared" ref="AC180:AC201" si="174">SUM(V180:AB180)</f>
        <v>146.46074612448518</v>
      </c>
      <c r="AD180" s="93">
        <f t="shared" ref="AD180:AD201" si="175">+AC180/R180</f>
        <v>73.230373062242592</v>
      </c>
      <c r="AE180" s="93">
        <f t="shared" ref="AE180:AE201" si="176">+AE151</f>
        <v>250</v>
      </c>
      <c r="AF180" s="90">
        <f t="shared" ref="AF180:AF201" si="177">+AE180-AD180</f>
        <v>176.76962693775741</v>
      </c>
      <c r="AG180" s="91">
        <f t="shared" ref="AG180:AG201" si="178">+AF180/AD180</f>
        <v>2.4138840148678611</v>
      </c>
      <c r="AH180" s="92">
        <f t="shared" ref="AH180:AH201" si="179">+AE180*R180</f>
        <v>500</v>
      </c>
    </row>
    <row r="181" spans="1:35" x14ac:dyDescent="0.3">
      <c r="A181" s="223"/>
      <c r="B181" s="4" t="str">
        <f t="shared" ref="B181:J181" si="180">+B152</f>
        <v>OSTELLIERE</v>
      </c>
      <c r="C181" s="4" t="str">
        <f t="shared" si="180"/>
        <v>Vaso bitorzolo twist</v>
      </c>
      <c r="D181" s="5">
        <f t="shared" si="180"/>
        <v>4</v>
      </c>
      <c r="E181" s="5">
        <f t="shared" si="180"/>
        <v>2</v>
      </c>
      <c r="F181" s="5">
        <f t="shared" si="180"/>
        <v>5.15</v>
      </c>
      <c r="G181" s="5">
        <f t="shared" si="180"/>
        <v>315</v>
      </c>
      <c r="H181" s="4">
        <f t="shared" si="180"/>
        <v>8.005105E-4</v>
      </c>
      <c r="I181" s="6">
        <f t="shared" si="180"/>
        <v>2.2236402777777777</v>
      </c>
      <c r="J181" s="6">
        <f t="shared" si="180"/>
        <v>2.0012762500000001</v>
      </c>
      <c r="R181" s="5">
        <f>+'Project Ostelliere'!R103</f>
        <v>2</v>
      </c>
      <c r="S181" s="6">
        <f>+'Project Ostelliere'!S103</f>
        <v>630</v>
      </c>
      <c r="T181" s="6">
        <f>+'Project Ostelliere'!T103</f>
        <v>4.4472805555555555</v>
      </c>
      <c r="U181" s="6">
        <f>+'Project Ostelliere'!U103</f>
        <v>4.0025525000000002</v>
      </c>
      <c r="V181" s="81">
        <f>+'Project Ostelliere'!V103</f>
        <v>5.3311345436076003</v>
      </c>
      <c r="W181" s="82">
        <f>+'Project Ostelliere'!W103</f>
        <v>2.71733289225E-2</v>
      </c>
      <c r="X181" s="82">
        <f>+'Project Ostelliere'!X103</f>
        <v>99.225000000000023</v>
      </c>
      <c r="Y181" s="82">
        <f>+'Project Ostelliere'!Y103</f>
        <v>37.094594594594597</v>
      </c>
      <c r="Z181" s="82">
        <f>+'Project Ostelliere'!Z103</f>
        <v>1.6730679165000002</v>
      </c>
      <c r="AA181" s="82">
        <f>+'Project Ostelliere'!AA103</f>
        <v>0.51553451124086935</v>
      </c>
      <c r="AB181" s="82">
        <f>+'Project Ostelliere'!AB103</f>
        <v>0</v>
      </c>
      <c r="AC181" s="83">
        <f t="shared" si="174"/>
        <v>143.86650489486561</v>
      </c>
      <c r="AD181" s="93">
        <f t="shared" si="175"/>
        <v>71.933252447432807</v>
      </c>
      <c r="AE181" s="93">
        <f t="shared" si="176"/>
        <v>250</v>
      </c>
      <c r="AF181" s="90">
        <f t="shared" si="177"/>
        <v>178.06674755256719</v>
      </c>
      <c r="AG181" s="91">
        <f t="shared" si="178"/>
        <v>2.475444130413738</v>
      </c>
      <c r="AH181" s="92">
        <f t="shared" si="179"/>
        <v>500</v>
      </c>
    </row>
    <row r="182" spans="1:35" x14ac:dyDescent="0.3">
      <c r="A182" s="223"/>
      <c r="B182" s="4" t="str">
        <f t="shared" ref="B182:J182" si="181">+B153</f>
        <v>OSTELLIERE</v>
      </c>
      <c r="C182" s="4" t="str">
        <f t="shared" si="181"/>
        <v>Vaso bitorzolo dritto</v>
      </c>
      <c r="D182" s="5">
        <f t="shared" si="181"/>
        <v>4</v>
      </c>
      <c r="E182" s="5">
        <f t="shared" si="181"/>
        <v>2</v>
      </c>
      <c r="F182" s="5">
        <f t="shared" si="181"/>
        <v>4.4800000000000004</v>
      </c>
      <c r="G182" s="5">
        <f t="shared" si="181"/>
        <v>288</v>
      </c>
      <c r="H182" s="4">
        <f t="shared" si="181"/>
        <v>8.2321687099999998E-4</v>
      </c>
      <c r="I182" s="6">
        <f t="shared" si="181"/>
        <v>2.2867135305555553</v>
      </c>
      <c r="J182" s="6">
        <f t="shared" si="181"/>
        <v>2.0580421775</v>
      </c>
      <c r="R182" s="5">
        <f>+'Project Ostelliere'!R104</f>
        <v>2</v>
      </c>
      <c r="S182" s="6">
        <f>+'Project Ostelliere'!S104</f>
        <v>576</v>
      </c>
      <c r="T182" s="6">
        <f>+'Project Ostelliere'!T104</f>
        <v>4.5734270611111105</v>
      </c>
      <c r="U182" s="6">
        <f>+'Project Ostelliere'!U104</f>
        <v>4.1160843549999999</v>
      </c>
      <c r="V182" s="81">
        <f>+'Project Ostelliere'!V104</f>
        <v>4.8741801541555203</v>
      </c>
      <c r="W182" s="82">
        <f>+'Project Ostelliere'!W104</f>
        <v>2.7944096686094998E-2</v>
      </c>
      <c r="X182" s="82">
        <f>+'Project Ostelliere'!X104</f>
        <v>90.720000000000013</v>
      </c>
      <c r="Y182" s="82">
        <f>+'Project Ostelliere'!Y104</f>
        <v>33.915057915057915</v>
      </c>
      <c r="Z182" s="82">
        <f>+'Project Ostelliere'!Z104</f>
        <v>1.5296620950857143</v>
      </c>
      <c r="AA182" s="82">
        <f>+'Project Ostelliere'!AA104</f>
        <v>0.53015757724130141</v>
      </c>
      <c r="AB182" s="82">
        <f>+'Project Ostelliere'!AB104</f>
        <v>0</v>
      </c>
      <c r="AC182" s="83">
        <f t="shared" si="174"/>
        <v>131.59700183822656</v>
      </c>
      <c r="AD182" s="93">
        <f t="shared" si="175"/>
        <v>65.79850091911328</v>
      </c>
      <c r="AE182" s="93">
        <f t="shared" si="176"/>
        <v>250</v>
      </c>
      <c r="AF182" s="90">
        <f t="shared" si="177"/>
        <v>184.20149908088672</v>
      </c>
      <c r="AG182" s="91">
        <f t="shared" si="178"/>
        <v>2.7994786584473612</v>
      </c>
      <c r="AH182" s="92">
        <f t="shared" si="179"/>
        <v>500</v>
      </c>
    </row>
    <row r="183" spans="1:35" x14ac:dyDescent="0.3">
      <c r="A183" s="223"/>
      <c r="B183" s="4" t="str">
        <f t="shared" ref="B183:J183" si="182">+B154</f>
        <v>OSTELLIERE</v>
      </c>
      <c r="C183" s="4" t="str">
        <f t="shared" si="182"/>
        <v>Porta riviste</v>
      </c>
      <c r="D183" s="5">
        <f t="shared" si="182"/>
        <v>10</v>
      </c>
      <c r="E183" s="5">
        <f t="shared" si="182"/>
        <v>10</v>
      </c>
      <c r="F183" s="5">
        <f t="shared" si="182"/>
        <v>0.42</v>
      </c>
      <c r="G183" s="5">
        <f t="shared" si="182"/>
        <v>42</v>
      </c>
      <c r="H183" s="4">
        <f t="shared" si="182"/>
        <v>3.5606798E-3</v>
      </c>
      <c r="I183" s="6">
        <f t="shared" si="182"/>
        <v>9.890777222222221</v>
      </c>
      <c r="J183" s="6">
        <f t="shared" si="182"/>
        <v>8.9016994999999994</v>
      </c>
      <c r="R183" s="5">
        <f>+'Project Ostelliere'!R105</f>
        <v>2</v>
      </c>
      <c r="S183" s="6">
        <f>+'Project Ostelliere'!S105</f>
        <v>84</v>
      </c>
      <c r="T183" s="6">
        <f>+'Project Ostelliere'!T105</f>
        <v>19.781554444444442</v>
      </c>
      <c r="U183" s="6">
        <f>+'Project Ostelliere'!U105</f>
        <v>17.803398999999999</v>
      </c>
      <c r="V183" s="81">
        <f>+'Project Ostelliere'!V105</f>
        <v>0.71081793914767988</v>
      </c>
      <c r="W183" s="82">
        <f>+'Project Ostelliere'!W105</f>
        <v>0.12086727581099999</v>
      </c>
      <c r="X183" s="82">
        <f>+'Project Ostelliere'!X105</f>
        <v>13.230000000000002</v>
      </c>
      <c r="Y183" s="82">
        <f>+'Project Ostelliere'!Y105</f>
        <v>4.9459459459459456</v>
      </c>
      <c r="Z183" s="82">
        <f>+'Project Ostelliere'!Z105</f>
        <v>0.22307572219999999</v>
      </c>
      <c r="AA183" s="82">
        <f>+'Project Ostelliere'!AA105</f>
        <v>2.2931033638887142</v>
      </c>
      <c r="AB183" s="82">
        <f>+'Project Ostelliere'!AB105</f>
        <v>0</v>
      </c>
      <c r="AC183" s="83">
        <f t="shared" si="174"/>
        <v>21.523810246993346</v>
      </c>
      <c r="AD183" s="93">
        <f t="shared" si="175"/>
        <v>10.761905123496673</v>
      </c>
      <c r="AE183" s="93">
        <f t="shared" si="176"/>
        <v>130</v>
      </c>
      <c r="AF183" s="90">
        <f t="shared" si="177"/>
        <v>119.23809487650333</v>
      </c>
      <c r="AG183" s="91">
        <f t="shared" si="178"/>
        <v>11.079645611832103</v>
      </c>
      <c r="AH183" s="92">
        <f t="shared" si="179"/>
        <v>260</v>
      </c>
    </row>
    <row r="184" spans="1:35" x14ac:dyDescent="0.3">
      <c r="A184" s="223"/>
      <c r="B184" s="4" t="str">
        <f t="shared" ref="B184:J184" si="183">+B155</f>
        <v>OSTELLIERE</v>
      </c>
      <c r="C184" s="4" t="str">
        <f t="shared" si="183"/>
        <v>Lampada 90 grossa</v>
      </c>
      <c r="D184" s="5">
        <f t="shared" si="183"/>
        <v>8</v>
      </c>
      <c r="E184" s="5">
        <f t="shared" si="183"/>
        <v>10</v>
      </c>
      <c r="F184" s="5">
        <f t="shared" si="183"/>
        <v>1.39</v>
      </c>
      <c r="G184" s="5">
        <f t="shared" si="183"/>
        <v>99</v>
      </c>
      <c r="H184" s="4">
        <f t="shared" si="183"/>
        <v>1.7366300000000001E-3</v>
      </c>
      <c r="I184" s="6">
        <f t="shared" si="183"/>
        <v>4.8239722222222232</v>
      </c>
      <c r="J184" s="6">
        <f t="shared" si="183"/>
        <v>4.3415750000000006</v>
      </c>
      <c r="R184" s="5">
        <f>+'Project Ostelliere'!R106</f>
        <v>1</v>
      </c>
      <c r="S184" s="6">
        <f>+'Project Ostelliere'!S106</f>
        <v>99</v>
      </c>
      <c r="T184" s="6">
        <f>+'Project Ostelliere'!T106</f>
        <v>4.8239722222222232</v>
      </c>
      <c r="U184" s="6">
        <f>+'Project Ostelliere'!U106</f>
        <v>4.3415750000000006</v>
      </c>
      <c r="V184" s="81">
        <f>+'Project Ostelliere'!V106</f>
        <v>0.83774971399547993</v>
      </c>
      <c r="W184" s="82">
        <f>+'Project Ostelliere'!W106</f>
        <v>2.9474952675000003E-2</v>
      </c>
      <c r="X184" s="82">
        <f>+'Project Ostelliere'!X106</f>
        <v>15.592500000000003</v>
      </c>
      <c r="Y184" s="82">
        <f>+'Project Ostelliere'!Y106</f>
        <v>5.8291505791505793</v>
      </c>
      <c r="Z184" s="82">
        <f>+'Project Ostelliere'!Z106</f>
        <v>0.26291067259285716</v>
      </c>
      <c r="AA184" s="82">
        <f>+'Project Ostelliere'!AA106</f>
        <v>0.55920109621062508</v>
      </c>
      <c r="AB184" s="82">
        <f>+'Project Ostelliere'!AB106</f>
        <v>24</v>
      </c>
      <c r="AC184" s="83">
        <f t="shared" si="174"/>
        <v>47.110987014624541</v>
      </c>
      <c r="AD184" s="93">
        <f t="shared" si="175"/>
        <v>47.110987014624541</v>
      </c>
      <c r="AE184" s="93">
        <f t="shared" si="176"/>
        <v>400</v>
      </c>
      <c r="AF184" s="90">
        <f t="shared" si="177"/>
        <v>352.88901298537547</v>
      </c>
      <c r="AG184" s="91">
        <f t="shared" si="178"/>
        <v>7.4905884029945931</v>
      </c>
      <c r="AH184" s="92">
        <f t="shared" si="179"/>
        <v>400</v>
      </c>
    </row>
    <row r="185" spans="1:35" x14ac:dyDescent="0.3">
      <c r="A185" s="223"/>
      <c r="B185" s="4" t="str">
        <f t="shared" ref="B185:J185" si="184">+B156</f>
        <v>OSTELLIERE</v>
      </c>
      <c r="C185" s="4" t="str">
        <f t="shared" si="184"/>
        <v>Lampada 90 piccola</v>
      </c>
      <c r="D185" s="5">
        <f t="shared" si="184"/>
        <v>5</v>
      </c>
      <c r="E185" s="5">
        <f t="shared" si="184"/>
        <v>10</v>
      </c>
      <c r="F185" s="5">
        <f t="shared" si="184"/>
        <v>1.1499999999999999</v>
      </c>
      <c r="G185" s="5">
        <f t="shared" si="184"/>
        <v>75</v>
      </c>
      <c r="H185" s="4">
        <f t="shared" si="184"/>
        <v>8.1557296000000004E-4</v>
      </c>
      <c r="I185" s="6">
        <f t="shared" si="184"/>
        <v>2.2654804444444445</v>
      </c>
      <c r="J185" s="6">
        <f t="shared" si="184"/>
        <v>2.0389324000000002</v>
      </c>
      <c r="R185" s="5">
        <f>+'Project Ostelliere'!R107</f>
        <v>6</v>
      </c>
      <c r="S185" s="6">
        <f>+'Project Ostelliere'!S107</f>
        <v>450</v>
      </c>
      <c r="T185" s="6">
        <f>+'Project Ostelliere'!T107</f>
        <v>13.592882666666668</v>
      </c>
      <c r="U185" s="6">
        <f>+'Project Ostelliere'!U107</f>
        <v>12.233594400000001</v>
      </c>
      <c r="V185" s="81">
        <f>+'Project Ostelliere'!V107</f>
        <v>3.8079532454339997</v>
      </c>
      <c r="W185" s="82">
        <f>+'Project Ostelliere'!W107</f>
        <v>8.3053872381600002E-2</v>
      </c>
      <c r="X185" s="82">
        <f>+'Project Ostelliere'!X107</f>
        <v>70.875000000000014</v>
      </c>
      <c r="Y185" s="82">
        <f>+'Project Ostelliere'!Y107</f>
        <v>26.496138996138995</v>
      </c>
      <c r="Z185" s="82">
        <f>+'Project Ostelliere'!Z107</f>
        <v>1.1950485117857144</v>
      </c>
      <c r="AA185" s="82">
        <f>+'Project Ostelliere'!AA107</f>
        <v>1.5757045309769298</v>
      </c>
      <c r="AB185" s="82">
        <f>+'Project Ostelliere'!AB107</f>
        <v>144</v>
      </c>
      <c r="AC185" s="83">
        <f t="shared" si="174"/>
        <v>248.03289915671726</v>
      </c>
      <c r="AD185" s="93">
        <f t="shared" si="175"/>
        <v>41.338816526119544</v>
      </c>
      <c r="AE185" s="93">
        <f t="shared" si="176"/>
        <v>200</v>
      </c>
      <c r="AF185" s="90">
        <f t="shared" si="177"/>
        <v>158.66118347388044</v>
      </c>
      <c r="AG185" s="91">
        <f t="shared" si="178"/>
        <v>3.8380678695441572</v>
      </c>
      <c r="AH185" s="92">
        <f t="shared" si="179"/>
        <v>1200</v>
      </c>
    </row>
    <row r="186" spans="1:35" x14ac:dyDescent="0.3">
      <c r="A186" s="223"/>
      <c r="B186" s="4" t="str">
        <f t="shared" ref="B186:J186" si="185">+B157</f>
        <v>OSTELLIERE</v>
      </c>
      <c r="C186" s="4" t="str">
        <f t="shared" si="185"/>
        <v>Vaso Logo</v>
      </c>
      <c r="D186" s="5">
        <f t="shared" si="185"/>
        <v>5</v>
      </c>
      <c r="E186" s="5">
        <f t="shared" si="185"/>
        <v>10</v>
      </c>
      <c r="F186" s="5">
        <f t="shared" si="185"/>
        <v>0.39</v>
      </c>
      <c r="G186" s="5">
        <f t="shared" si="185"/>
        <v>39</v>
      </c>
      <c r="H186" s="4">
        <f t="shared" si="185"/>
        <v>1.1639584900000001E-3</v>
      </c>
      <c r="I186" s="6">
        <f t="shared" si="185"/>
        <v>3.2332180277777778</v>
      </c>
      <c r="J186" s="6">
        <f t="shared" si="185"/>
        <v>2.9098962250000002</v>
      </c>
      <c r="R186" s="5">
        <f>+'Project Ostelliere'!R108</f>
        <v>3</v>
      </c>
      <c r="S186" s="6">
        <f>+'Project Ostelliere'!S108</f>
        <v>117</v>
      </c>
      <c r="T186" s="6">
        <f>+'Project Ostelliere'!T108</f>
        <v>9.6996540833333338</v>
      </c>
      <c r="U186" s="6">
        <f>+'Project Ostelliere'!U108</f>
        <v>8.7296886750000002</v>
      </c>
      <c r="V186" s="81">
        <f>+'Project Ostelliere'!V108</f>
        <v>0.99006784381283996</v>
      </c>
      <c r="W186" s="82">
        <f>+'Project Ostelliere'!W108</f>
        <v>5.9265856414574998E-2</v>
      </c>
      <c r="X186" s="82">
        <f>+'Project Ostelliere'!X108</f>
        <v>18.427500000000002</v>
      </c>
      <c r="Y186" s="82">
        <f>+'Project Ostelliere'!Y108</f>
        <v>6.8889961389961387</v>
      </c>
      <c r="Z186" s="82">
        <f>+'Project Ostelliere'!Z108</f>
        <v>0.31071261306428571</v>
      </c>
      <c r="AA186" s="82">
        <f>+'Project Ostelliere'!AA108</f>
        <v>1.1243964406091058</v>
      </c>
      <c r="AB186" s="82">
        <f>+'Project Ostelliere'!AB108</f>
        <v>0</v>
      </c>
      <c r="AC186" s="83">
        <f t="shared" si="174"/>
        <v>27.800938892896948</v>
      </c>
      <c r="AD186" s="93">
        <f t="shared" si="175"/>
        <v>9.2669796309656487</v>
      </c>
      <c r="AE186" s="93">
        <f t="shared" si="176"/>
        <v>310</v>
      </c>
      <c r="AF186" s="90">
        <f t="shared" si="177"/>
        <v>300.73302036903436</v>
      </c>
      <c r="AG186" s="91">
        <f t="shared" si="178"/>
        <v>32.452107627833108</v>
      </c>
      <c r="AH186" s="92">
        <f t="shared" si="179"/>
        <v>930</v>
      </c>
    </row>
    <row r="187" spans="1:35" x14ac:dyDescent="0.3">
      <c r="A187" s="223"/>
      <c r="B187" s="4" t="str">
        <f t="shared" ref="B187:J187" si="186">+B158</f>
        <v>OSTELLIERE</v>
      </c>
      <c r="C187" s="4" t="str">
        <f t="shared" si="186"/>
        <v>Copri candela</v>
      </c>
      <c r="D187" s="5">
        <f t="shared" si="186"/>
        <v>4</v>
      </c>
      <c r="E187" s="5">
        <f t="shared" si="186"/>
        <v>5</v>
      </c>
      <c r="F187" s="5">
        <f t="shared" si="186"/>
        <v>0.34</v>
      </c>
      <c r="G187" s="5">
        <f t="shared" si="186"/>
        <v>34</v>
      </c>
      <c r="H187" s="4">
        <f t="shared" si="186"/>
        <v>2.3780405299999999E-4</v>
      </c>
      <c r="I187" s="6">
        <f t="shared" si="186"/>
        <v>0.66056681388888883</v>
      </c>
      <c r="J187" s="6">
        <f t="shared" si="186"/>
        <v>0.59451013249999995</v>
      </c>
      <c r="R187" s="5">
        <f>+'Project Ostelliere'!R109</f>
        <v>15</v>
      </c>
      <c r="S187" s="6">
        <f>+'Project Ostelliere'!S109</f>
        <v>510</v>
      </c>
      <c r="T187" s="6">
        <f>+'Project Ostelliere'!T109</f>
        <v>9.9085022083333332</v>
      </c>
      <c r="U187" s="6">
        <f>+'Project Ostelliere'!U109</f>
        <v>8.9176519874999993</v>
      </c>
      <c r="V187" s="81">
        <f>+'Project Ostelliere'!V109</f>
        <v>4.3156803448251999</v>
      </c>
      <c r="W187" s="82">
        <f>+'Project Ostelliere'!W109</f>
        <v>6.0541939343137494E-2</v>
      </c>
      <c r="X187" s="82">
        <f>+'Project Ostelliere'!X109</f>
        <v>80.325000000000017</v>
      </c>
      <c r="Y187" s="82">
        <f>+'Project Ostelliere'!Y109</f>
        <v>30.02895752895753</v>
      </c>
      <c r="Z187" s="82">
        <f>+'Project Ostelliere'!Z109</f>
        <v>1.3543883133571428</v>
      </c>
      <c r="AA187" s="82">
        <f>+'Project Ostelliere'!AA109</f>
        <v>1.1486063852484083</v>
      </c>
      <c r="AB187" s="82">
        <f>+'Project Ostelliere'!AB109</f>
        <v>0</v>
      </c>
      <c r="AC187" s="83">
        <f t="shared" si="174"/>
        <v>117.23317451173145</v>
      </c>
      <c r="AD187" s="93">
        <f t="shared" si="175"/>
        <v>7.8155449674487629</v>
      </c>
      <c r="AE187" s="93">
        <f t="shared" si="176"/>
        <v>20</v>
      </c>
      <c r="AF187" s="90">
        <f t="shared" si="177"/>
        <v>12.184455032551238</v>
      </c>
      <c r="AG187" s="91">
        <f t="shared" si="178"/>
        <v>1.5590026138034778</v>
      </c>
      <c r="AH187" s="92">
        <f t="shared" si="179"/>
        <v>300</v>
      </c>
    </row>
    <row r="188" spans="1:35" x14ac:dyDescent="0.3">
      <c r="A188" s="223"/>
      <c r="B188" s="4" t="str">
        <f t="shared" ref="B188:J188" si="187">+B159</f>
        <v>OSTELLIERE</v>
      </c>
      <c r="C188" s="4" t="str">
        <f t="shared" si="187"/>
        <v xml:space="preserve">Vaso Grosso </v>
      </c>
      <c r="D188" s="5">
        <f t="shared" si="187"/>
        <v>4</v>
      </c>
      <c r="E188" s="5">
        <f t="shared" si="187"/>
        <v>5</v>
      </c>
      <c r="F188" s="5">
        <f t="shared" si="187"/>
        <v>1.31</v>
      </c>
      <c r="G188" s="5">
        <f t="shared" si="187"/>
        <v>91</v>
      </c>
      <c r="H188" s="4">
        <f t="shared" si="187"/>
        <v>9.52764444E-4</v>
      </c>
      <c r="I188" s="6">
        <f t="shared" si="187"/>
        <v>2.6465679</v>
      </c>
      <c r="J188" s="6">
        <f t="shared" si="187"/>
        <v>2.3819111099999999</v>
      </c>
      <c r="R188" s="5">
        <f>+'Project Ostelliere'!R110</f>
        <v>2</v>
      </c>
      <c r="S188" s="6">
        <f>+'Project Ostelliere'!S110</f>
        <v>182</v>
      </c>
      <c r="T188" s="6">
        <f>+'Project Ostelliere'!T110</f>
        <v>5.2931357999999999</v>
      </c>
      <c r="U188" s="6">
        <f>+'Project Ostelliere'!U110</f>
        <v>4.7638222199999998</v>
      </c>
      <c r="V188" s="81">
        <f>+'Project Ostelliere'!V110</f>
        <v>1.5401055348199733</v>
      </c>
      <c r="W188" s="82">
        <f>+'Project Ostelliere'!W110</f>
        <v>3.2341589051580001E-2</v>
      </c>
      <c r="X188" s="82">
        <f>+'Project Ostelliere'!X110</f>
        <v>28.665000000000006</v>
      </c>
      <c r="Y188" s="82">
        <f>+'Project Ostelliere'!Y110</f>
        <v>10.716216216216216</v>
      </c>
      <c r="Z188" s="82">
        <f>+'Project Ostelliere'!Z110</f>
        <v>0.48333073143333333</v>
      </c>
      <c r="AA188" s="82">
        <f>+'Project Ostelliere'!AA110</f>
        <v>0.61358714465983732</v>
      </c>
      <c r="AB188" s="82">
        <f>+'Project Ostelliere'!AB110</f>
        <v>0</v>
      </c>
      <c r="AC188" s="83">
        <f t="shared" si="174"/>
        <v>42.050581216180944</v>
      </c>
      <c r="AD188" s="93">
        <f t="shared" si="175"/>
        <v>21.025290608090472</v>
      </c>
      <c r="AE188" s="93">
        <f t="shared" si="176"/>
        <v>200</v>
      </c>
      <c r="AF188" s="90">
        <f t="shared" si="177"/>
        <v>178.97470939190953</v>
      </c>
      <c r="AG188" s="91">
        <f t="shared" si="178"/>
        <v>8.5123536567452049</v>
      </c>
      <c r="AH188" s="92">
        <f t="shared" si="179"/>
        <v>400</v>
      </c>
    </row>
    <row r="189" spans="1:35" x14ac:dyDescent="0.3">
      <c r="A189" s="223"/>
      <c r="B189" s="4" t="str">
        <f t="shared" ref="B189:J189" si="188">+B160</f>
        <v>ORTO</v>
      </c>
      <c r="C189" s="4" t="str">
        <f t="shared" si="188"/>
        <v>Bicchiere curve dritto</v>
      </c>
      <c r="D189" s="5">
        <f t="shared" si="188"/>
        <v>2</v>
      </c>
      <c r="E189" s="5">
        <f t="shared" si="188"/>
        <v>2</v>
      </c>
      <c r="F189" s="5">
        <f t="shared" si="188"/>
        <v>0.26</v>
      </c>
      <c r="G189" s="5">
        <f t="shared" si="188"/>
        <v>26</v>
      </c>
      <c r="H189" s="4">
        <f t="shared" si="188"/>
        <v>1.6928511099999999E-4</v>
      </c>
      <c r="I189" s="6">
        <f t="shared" si="188"/>
        <v>0.47023641944444439</v>
      </c>
      <c r="J189" s="6">
        <f t="shared" si="188"/>
        <v>0.42321277749999997</v>
      </c>
      <c r="R189" s="5">
        <f>+'Project Orto'!R107</f>
        <v>12</v>
      </c>
      <c r="S189" s="6">
        <f>+'Project Orto'!S107</f>
        <v>312</v>
      </c>
      <c r="T189" s="6">
        <f>+'Project Orto'!T107</f>
        <v>5.6428370333333326</v>
      </c>
      <c r="U189" s="6">
        <f>+'Project Orto'!U107</f>
        <v>5.0785533300000001</v>
      </c>
      <c r="V189" s="81">
        <f>+'Project Orto'!V107</f>
        <v>2.6401809168342401</v>
      </c>
      <c r="W189" s="82">
        <f>+'Project Orto'!W107</f>
        <v>3.4478298557370002E-2</v>
      </c>
      <c r="X189" s="82">
        <f>+'Project Orto'!X107</f>
        <v>49.140000000000008</v>
      </c>
      <c r="Y189" s="82">
        <f>+'Project Orto'!Y107</f>
        <v>18.37065637065637</v>
      </c>
      <c r="Z189" s="82">
        <f>+'Project Orto'!Z107</f>
        <v>0.82856696817142861</v>
      </c>
      <c r="AA189" s="82">
        <f>+'Project Orto'!AA107</f>
        <v>0.65412496370559525</v>
      </c>
      <c r="AB189" s="82">
        <f>+'Project Orto'!AB107</f>
        <v>0</v>
      </c>
      <c r="AC189" s="83">
        <f t="shared" si="174"/>
        <v>71.668007517925005</v>
      </c>
      <c r="AD189" s="93">
        <f t="shared" si="175"/>
        <v>5.9723339598270835</v>
      </c>
      <c r="AE189" s="93">
        <f t="shared" si="176"/>
        <v>15</v>
      </c>
      <c r="AF189" s="90">
        <f t="shared" si="177"/>
        <v>9.0276660401729174</v>
      </c>
      <c r="AG189" s="91">
        <f t="shared" si="178"/>
        <v>1.5115809164218765</v>
      </c>
      <c r="AH189" s="92">
        <f t="shared" si="179"/>
        <v>180</v>
      </c>
    </row>
    <row r="190" spans="1:35" x14ac:dyDescent="0.3">
      <c r="A190" s="223"/>
      <c r="B190" s="4" t="str">
        <f t="shared" ref="B190:J190" si="189">+B161</f>
        <v>ORTO</v>
      </c>
      <c r="C190" s="4" t="str">
        <f t="shared" si="189"/>
        <v>Bicchiere curve twist</v>
      </c>
      <c r="D190" s="5">
        <f t="shared" si="189"/>
        <v>2</v>
      </c>
      <c r="E190" s="5">
        <f t="shared" si="189"/>
        <v>2</v>
      </c>
      <c r="F190" s="5">
        <f t="shared" si="189"/>
        <v>0.25</v>
      </c>
      <c r="G190" s="5">
        <f t="shared" si="189"/>
        <v>25</v>
      </c>
      <c r="H190" s="4">
        <f t="shared" si="189"/>
        <v>1.69285896E-4</v>
      </c>
      <c r="I190" s="6">
        <f t="shared" si="189"/>
        <v>0.47023859999999995</v>
      </c>
      <c r="J190" s="6">
        <f t="shared" si="189"/>
        <v>0.42321473999999998</v>
      </c>
      <c r="R190" s="5">
        <f>+'Project Orto'!R108</f>
        <v>12</v>
      </c>
      <c r="S190" s="6">
        <f>+'Project Orto'!S108</f>
        <v>300</v>
      </c>
      <c r="T190" s="6">
        <f>+'Project Orto'!T108</f>
        <v>5.642863199999999</v>
      </c>
      <c r="U190" s="6">
        <f>+'Project Orto'!U108</f>
        <v>5.07857688</v>
      </c>
      <c r="V190" s="81">
        <f>+'Project Orto'!V108</f>
        <v>2.5386354969559997</v>
      </c>
      <c r="W190" s="82">
        <f>+'Project Orto'!W108</f>
        <v>3.4478458438320002E-2</v>
      </c>
      <c r="X190" s="82">
        <f>+'Project Orto'!X108</f>
        <v>47.250000000000007</v>
      </c>
      <c r="Y190" s="82">
        <f>+'Project Orto'!Y108</f>
        <v>17.664092664092664</v>
      </c>
      <c r="Z190" s="82">
        <f>+'Project Orto'!Z108</f>
        <v>0.79669900785714287</v>
      </c>
      <c r="AA190" s="82">
        <f>+'Project Orto'!AA108</f>
        <v>0.65412799697942225</v>
      </c>
      <c r="AB190" s="82">
        <f>+'Project Orto'!AB108</f>
        <v>0</v>
      </c>
      <c r="AC190" s="83">
        <f t="shared" si="174"/>
        <v>68.938033624323552</v>
      </c>
      <c r="AD190" s="93">
        <f t="shared" si="175"/>
        <v>5.7448361353602957</v>
      </c>
      <c r="AE190" s="93">
        <f t="shared" si="176"/>
        <v>15</v>
      </c>
      <c r="AF190" s="90">
        <f t="shared" si="177"/>
        <v>9.2551638646397052</v>
      </c>
      <c r="AG190" s="91">
        <f t="shared" si="178"/>
        <v>1.6110405321524901</v>
      </c>
      <c r="AH190" s="92">
        <f t="shared" si="179"/>
        <v>180</v>
      </c>
    </row>
    <row r="191" spans="1:35" x14ac:dyDescent="0.3">
      <c r="A191" s="223"/>
      <c r="B191" s="4" t="str">
        <f t="shared" ref="B191:J191" si="190">+B162</f>
        <v>ORTO</v>
      </c>
      <c r="C191" s="4" t="str">
        <f t="shared" si="190"/>
        <v>Caraffa curva</v>
      </c>
      <c r="D191" s="5">
        <f t="shared" si="190"/>
        <v>2</v>
      </c>
      <c r="E191" s="5">
        <f t="shared" si="190"/>
        <v>2</v>
      </c>
      <c r="F191" s="5">
        <f t="shared" si="190"/>
        <v>0.56999999999999995</v>
      </c>
      <c r="G191" s="5">
        <f t="shared" si="190"/>
        <v>57</v>
      </c>
      <c r="H191" s="4">
        <f t="shared" si="190"/>
        <v>3.69342133E-4</v>
      </c>
      <c r="I191" s="6">
        <f t="shared" si="190"/>
        <v>1.0259503694444445</v>
      </c>
      <c r="J191" s="6">
        <f t="shared" si="190"/>
        <v>0.92335533250000001</v>
      </c>
      <c r="R191" s="5">
        <f>+'Project Orto'!R109</f>
        <v>2</v>
      </c>
      <c r="S191" s="6">
        <f>+'Project Orto'!S109</f>
        <v>114</v>
      </c>
      <c r="T191" s="6">
        <f>+'Project Orto'!T109</f>
        <v>2.051900738888889</v>
      </c>
      <c r="U191" s="6">
        <f>+'Project Orto'!U109</f>
        <v>1.846710665</v>
      </c>
      <c r="V191" s="81">
        <f>+'Project Orto'!V109</f>
        <v>0.96468148884327987</v>
      </c>
      <c r="W191" s="82">
        <f>+'Project Orto'!W109</f>
        <v>1.2537318704685E-2</v>
      </c>
      <c r="X191" s="82">
        <f>+'Project Orto'!X109</f>
        <v>17.955000000000002</v>
      </c>
      <c r="Y191" s="82">
        <f>+'Project Orto'!Y109</f>
        <v>6.7123552123552122</v>
      </c>
      <c r="Z191" s="82">
        <f>+'Project Orto'!Z109</f>
        <v>0.30274562298571428</v>
      </c>
      <c r="AA191" s="82">
        <f>+'Project Orto'!AA109</f>
        <v>0.23785898625541477</v>
      </c>
      <c r="AB191" s="82">
        <f>+'Project Orto'!AB109</f>
        <v>0</v>
      </c>
      <c r="AC191" s="83">
        <f t="shared" si="174"/>
        <v>26.185178629144307</v>
      </c>
      <c r="AD191" s="93">
        <f t="shared" si="175"/>
        <v>13.092589314572153</v>
      </c>
      <c r="AE191" s="93">
        <f t="shared" si="176"/>
        <v>30</v>
      </c>
      <c r="AF191" s="90">
        <f t="shared" si="177"/>
        <v>16.907410685427848</v>
      </c>
      <c r="AG191" s="91">
        <f t="shared" si="178"/>
        <v>1.2913725680381474</v>
      </c>
      <c r="AH191" s="92">
        <f t="shared" si="179"/>
        <v>60</v>
      </c>
    </row>
    <row r="192" spans="1:35" x14ac:dyDescent="0.3">
      <c r="A192" s="223"/>
      <c r="B192" s="4" t="str">
        <f t="shared" ref="B192:J192" si="191">+B163</f>
        <v>ORTO</v>
      </c>
      <c r="C192" s="4" t="str">
        <f t="shared" si="191"/>
        <v>Caraffa colonna dritta</v>
      </c>
      <c r="D192" s="5">
        <f t="shared" si="191"/>
        <v>2</v>
      </c>
      <c r="E192" s="5">
        <f t="shared" si="191"/>
        <v>1</v>
      </c>
      <c r="F192" s="5">
        <f t="shared" si="191"/>
        <v>1.4</v>
      </c>
      <c r="G192" s="5">
        <f t="shared" si="191"/>
        <v>100</v>
      </c>
      <c r="H192" s="4">
        <f t="shared" si="191"/>
        <v>3.2796365999999998E-4</v>
      </c>
      <c r="I192" s="6">
        <f t="shared" si="191"/>
        <v>0.91101016666666657</v>
      </c>
      <c r="J192" s="6">
        <f t="shared" si="191"/>
        <v>0.81990914999999998</v>
      </c>
      <c r="R192" s="5">
        <f>+'Project Orto'!R110</f>
        <v>2</v>
      </c>
      <c r="S192" s="6">
        <f>+'Project Orto'!S110</f>
        <v>200</v>
      </c>
      <c r="T192" s="6">
        <f>+'Project Orto'!T110</f>
        <v>1.8220203333333331</v>
      </c>
      <c r="U192" s="6">
        <f>+'Project Orto'!U110</f>
        <v>1.6398183</v>
      </c>
      <c r="V192" s="81">
        <f>+'Project Orto'!V110</f>
        <v>1.6924236646373332</v>
      </c>
      <c r="W192" s="82">
        <f>+'Project Orto'!W110</f>
        <v>1.1132726438699999E-2</v>
      </c>
      <c r="X192" s="82">
        <f>+'Project Orto'!X110</f>
        <v>31.500000000000007</v>
      </c>
      <c r="Y192" s="82">
        <f>+'Project Orto'!Y110</f>
        <v>11.776061776061777</v>
      </c>
      <c r="Z192" s="82">
        <f>+'Project Orto'!Z110</f>
        <v>0.53113267190476188</v>
      </c>
      <c r="AA192" s="82">
        <f>+'Project Orto'!AA110</f>
        <v>0.21121095246454188</v>
      </c>
      <c r="AB192" s="82">
        <f>+'Project Orto'!AB110</f>
        <v>0</v>
      </c>
      <c r="AC192" s="83">
        <f t="shared" si="174"/>
        <v>45.72196179150712</v>
      </c>
      <c r="AD192" s="93">
        <f t="shared" si="175"/>
        <v>22.86098089575356</v>
      </c>
      <c r="AE192" s="93">
        <f t="shared" si="176"/>
        <v>30</v>
      </c>
      <c r="AF192" s="90">
        <f t="shared" si="177"/>
        <v>7.1390191042464402</v>
      </c>
      <c r="AG192" s="91">
        <f t="shared" si="178"/>
        <v>0.31227964962660537</v>
      </c>
      <c r="AH192" s="92">
        <f t="shared" si="179"/>
        <v>60</v>
      </c>
    </row>
    <row r="193" spans="1:35" x14ac:dyDescent="0.3">
      <c r="A193" s="223"/>
      <c r="B193" s="4" t="str">
        <f t="shared" ref="B193:J193" si="192">+B164</f>
        <v>ORTO</v>
      </c>
      <c r="C193" s="4" t="str">
        <f t="shared" si="192"/>
        <v>Caraffa colonna twist1</v>
      </c>
      <c r="D193" s="5">
        <f t="shared" si="192"/>
        <v>2</v>
      </c>
      <c r="E193" s="5">
        <f t="shared" si="192"/>
        <v>1</v>
      </c>
      <c r="F193" s="5">
        <f t="shared" si="192"/>
        <v>1.41</v>
      </c>
      <c r="G193" s="5">
        <f t="shared" si="192"/>
        <v>101</v>
      </c>
      <c r="H193" s="4">
        <f t="shared" si="192"/>
        <v>3.323221E-4</v>
      </c>
      <c r="I193" s="6">
        <f t="shared" si="192"/>
        <v>0.92311694444444448</v>
      </c>
      <c r="J193" s="6">
        <f t="shared" si="192"/>
        <v>0.83080525000000005</v>
      </c>
      <c r="R193" s="5">
        <f>+'Project Orto'!R111</f>
        <v>2</v>
      </c>
      <c r="S193" s="6">
        <f>+'Project Orto'!S111</f>
        <v>202</v>
      </c>
      <c r="T193" s="6">
        <f>+'Project Orto'!T111</f>
        <v>1.846233888888889</v>
      </c>
      <c r="U193" s="6">
        <f>+'Project Orto'!U111</f>
        <v>1.6616105000000001</v>
      </c>
      <c r="V193" s="81">
        <f>+'Project Orto'!V111</f>
        <v>1.7093479012837065</v>
      </c>
      <c r="W193" s="82">
        <f>+'Project Orto'!W111</f>
        <v>1.12806736845E-2</v>
      </c>
      <c r="X193" s="82">
        <f>+'Project Orto'!X111</f>
        <v>31.815000000000005</v>
      </c>
      <c r="Y193" s="82">
        <f>+'Project Orto'!Y111</f>
        <v>11.893822393822393</v>
      </c>
      <c r="Z193" s="82">
        <f>+'Project Orto'!Z111</f>
        <v>0.53644399862380954</v>
      </c>
      <c r="AA193" s="82">
        <f>+'Project Orto'!AA111</f>
        <v>0.21401781912671894</v>
      </c>
      <c r="AB193" s="82">
        <f>+'Project Orto'!AB111</f>
        <v>0</v>
      </c>
      <c r="AC193" s="83">
        <f t="shared" si="174"/>
        <v>46.179912786541131</v>
      </c>
      <c r="AD193" s="93">
        <f t="shared" si="175"/>
        <v>23.089956393270565</v>
      </c>
      <c r="AE193" s="93">
        <f t="shared" si="176"/>
        <v>30</v>
      </c>
      <c r="AF193" s="90">
        <f t="shared" si="177"/>
        <v>6.9100436067294346</v>
      </c>
      <c r="AG193" s="91">
        <f t="shared" si="178"/>
        <v>0.29926620427673595</v>
      </c>
      <c r="AH193" s="92">
        <f t="shared" si="179"/>
        <v>60</v>
      </c>
    </row>
    <row r="194" spans="1:35" x14ac:dyDescent="0.3">
      <c r="A194" s="223"/>
      <c r="B194" s="4" t="str">
        <f t="shared" ref="B194:J194" si="193">+B165</f>
        <v>ORTO</v>
      </c>
      <c r="C194" s="4" t="str">
        <f t="shared" si="193"/>
        <v>Caraffa colonna twist2</v>
      </c>
      <c r="D194" s="5">
        <f t="shared" si="193"/>
        <v>2</v>
      </c>
      <c r="E194" s="5">
        <f t="shared" si="193"/>
        <v>1</v>
      </c>
      <c r="F194" s="5">
        <f t="shared" si="193"/>
        <v>1.45</v>
      </c>
      <c r="G194" s="5">
        <f t="shared" si="193"/>
        <v>105</v>
      </c>
      <c r="H194" s="4">
        <f t="shared" si="193"/>
        <v>3.4271101000000001E-4</v>
      </c>
      <c r="I194" s="6">
        <f t="shared" si="193"/>
        <v>0.95197502777777776</v>
      </c>
      <c r="J194" s="6">
        <f t="shared" si="193"/>
        <v>0.85677752500000004</v>
      </c>
      <c r="R194" s="5">
        <f>+'Project Orto'!R112</f>
        <v>2</v>
      </c>
      <c r="S194" s="6">
        <f>+'Project Orto'!S112</f>
        <v>210</v>
      </c>
      <c r="T194" s="6">
        <f>+'Project Orto'!T112</f>
        <v>1.9039500555555555</v>
      </c>
      <c r="U194" s="6">
        <f>+'Project Orto'!U112</f>
        <v>1.7135550500000001</v>
      </c>
      <c r="V194" s="81">
        <f>+'Project Orto'!V112</f>
        <v>1.7770448478691998</v>
      </c>
      <c r="W194" s="82">
        <f>+'Project Orto'!W112</f>
        <v>1.1633325234450001E-2</v>
      </c>
      <c r="X194" s="82">
        <f>+'Project Orto'!X112</f>
        <v>33.075000000000003</v>
      </c>
      <c r="Y194" s="82">
        <f>+'Project Orto'!Y112</f>
        <v>12.364864864864865</v>
      </c>
      <c r="Z194" s="82">
        <f>+'Project Orto'!Z112</f>
        <v>0.55768930550000007</v>
      </c>
      <c r="AA194" s="82">
        <f>+'Project Orto'!AA112</f>
        <v>0.22070835177953907</v>
      </c>
      <c r="AB194" s="82">
        <f>+'Project Orto'!AB112</f>
        <v>0</v>
      </c>
      <c r="AC194" s="83">
        <f t="shared" si="174"/>
        <v>48.006940695248055</v>
      </c>
      <c r="AD194" s="93">
        <f t="shared" si="175"/>
        <v>24.003470347624027</v>
      </c>
      <c r="AE194" s="93">
        <f t="shared" si="176"/>
        <v>30</v>
      </c>
      <c r="AF194" s="90">
        <f t="shared" si="177"/>
        <v>5.9965296523759726</v>
      </c>
      <c r="AG194" s="91">
        <f t="shared" si="178"/>
        <v>0.24981927885979771</v>
      </c>
      <c r="AH194" s="92">
        <f t="shared" si="179"/>
        <v>60</v>
      </c>
    </row>
    <row r="195" spans="1:35" x14ac:dyDescent="0.3">
      <c r="A195" s="223"/>
      <c r="B195" s="4" t="str">
        <f t="shared" ref="B195:J195" si="194">+B166</f>
        <v>ORTO</v>
      </c>
      <c r="C195" s="4" t="str">
        <f t="shared" si="194"/>
        <v>Caraffa colonna twist3</v>
      </c>
      <c r="D195" s="5">
        <f t="shared" si="194"/>
        <v>2</v>
      </c>
      <c r="E195" s="5">
        <f t="shared" si="194"/>
        <v>1</v>
      </c>
      <c r="F195" s="5">
        <f t="shared" si="194"/>
        <v>1.42</v>
      </c>
      <c r="G195" s="5">
        <f t="shared" si="194"/>
        <v>102</v>
      </c>
      <c r="H195" s="4">
        <f t="shared" si="194"/>
        <v>3.3727121999999998E-4</v>
      </c>
      <c r="I195" s="6">
        <f t="shared" si="194"/>
        <v>0.93686449999999988</v>
      </c>
      <c r="J195" s="6">
        <f t="shared" si="194"/>
        <v>0.8431780499999999</v>
      </c>
      <c r="R195" s="5">
        <f>+'Project Orto'!R113</f>
        <v>2</v>
      </c>
      <c r="S195" s="6">
        <f>+'Project Orto'!S113</f>
        <v>204</v>
      </c>
      <c r="T195" s="6">
        <f>+'Project Orto'!T113</f>
        <v>1.8737289999999998</v>
      </c>
      <c r="U195" s="6">
        <f>+'Project Orto'!U113</f>
        <v>1.6863560999999998</v>
      </c>
      <c r="V195" s="81">
        <f>+'Project Orto'!V113</f>
        <v>1.7262721379300801</v>
      </c>
      <c r="W195" s="82">
        <f>+'Project Orto'!W113</f>
        <v>1.1448671562899998E-2</v>
      </c>
      <c r="X195" s="82">
        <f>+'Project Orto'!X113</f>
        <v>32.130000000000003</v>
      </c>
      <c r="Y195" s="82">
        <f>+'Project Orto'!Y113</f>
        <v>12.011583011583012</v>
      </c>
      <c r="Z195" s="82">
        <f>+'Project Orto'!Z113</f>
        <v>0.5417553253428572</v>
      </c>
      <c r="AA195" s="82">
        <f>+'Project Orto'!AA113</f>
        <v>0.21720508795114082</v>
      </c>
      <c r="AB195" s="82">
        <f>+'Project Orto'!AB113</f>
        <v>0</v>
      </c>
      <c r="AC195" s="83">
        <f t="shared" si="174"/>
        <v>46.638264234369991</v>
      </c>
      <c r="AD195" s="93">
        <f t="shared" si="175"/>
        <v>23.319132117184996</v>
      </c>
      <c r="AE195" s="93">
        <f t="shared" si="176"/>
        <v>30</v>
      </c>
      <c r="AF195" s="90">
        <f t="shared" si="177"/>
        <v>6.6808678828150043</v>
      </c>
      <c r="AG195" s="91">
        <f t="shared" si="178"/>
        <v>0.28649727825383131</v>
      </c>
      <c r="AH195" s="92">
        <f t="shared" si="179"/>
        <v>60</v>
      </c>
    </row>
    <row r="196" spans="1:35" x14ac:dyDescent="0.3">
      <c r="A196" s="223"/>
      <c r="B196" s="4" t="str">
        <f t="shared" ref="B196:J196" si="195">+B167</f>
        <v>ORTO</v>
      </c>
      <c r="C196" s="4" t="str">
        <f t="shared" si="195"/>
        <v>Bicchiere colonna twist1</v>
      </c>
      <c r="D196" s="5">
        <f t="shared" si="195"/>
        <v>1</v>
      </c>
      <c r="E196" s="5">
        <f t="shared" si="195"/>
        <v>1</v>
      </c>
      <c r="F196" s="5">
        <f t="shared" si="195"/>
        <v>0.57999999999999996</v>
      </c>
      <c r="G196" s="5">
        <f t="shared" si="195"/>
        <v>58</v>
      </c>
      <c r="H196" s="4">
        <f t="shared" si="195"/>
        <v>9.7981700000000004E-5</v>
      </c>
      <c r="I196" s="6">
        <f t="shared" si="195"/>
        <v>0.27217138888888892</v>
      </c>
      <c r="J196" s="6">
        <f t="shared" si="195"/>
        <v>0.24495425000000001</v>
      </c>
      <c r="R196" s="5">
        <f>+'Project Orto'!R114</f>
        <v>12</v>
      </c>
      <c r="S196" s="6">
        <f>+'Project Orto'!S114</f>
        <v>696</v>
      </c>
      <c r="T196" s="6">
        <f>+'Project Orto'!T114</f>
        <v>3.2660566666666671</v>
      </c>
      <c r="U196" s="6">
        <f>+'Project Orto'!U114</f>
        <v>2.939451</v>
      </c>
      <c r="V196" s="81">
        <f>+'Project Orto'!V114</f>
        <v>5.8896343529379198</v>
      </c>
      <c r="W196" s="82">
        <f>+'Project Orto'!W114</f>
        <v>1.9955932839000001E-2</v>
      </c>
      <c r="X196" s="82">
        <f>+'Project Orto'!X114</f>
        <v>109.62000000000002</v>
      </c>
      <c r="Y196" s="82">
        <f>+'Project Orto'!Y114</f>
        <v>40.980694980694977</v>
      </c>
      <c r="Z196" s="82">
        <f>+'Project Orto'!Z114</f>
        <v>1.8483416982285714</v>
      </c>
      <c r="AA196" s="82">
        <f>+'Project Orto'!AA114</f>
        <v>0.37860551100865886</v>
      </c>
      <c r="AB196" s="82">
        <f>+'Project Orto'!AB114</f>
        <v>0</v>
      </c>
      <c r="AC196" s="83">
        <f t="shared" si="174"/>
        <v>158.73723247570913</v>
      </c>
      <c r="AD196" s="93">
        <f t="shared" si="175"/>
        <v>13.228102706309095</v>
      </c>
      <c r="AE196" s="93">
        <f t="shared" si="176"/>
        <v>15</v>
      </c>
      <c r="AF196" s="90">
        <f t="shared" si="177"/>
        <v>1.7718972936909054</v>
      </c>
      <c r="AG196" s="91">
        <f t="shared" si="178"/>
        <v>0.13394946599906618</v>
      </c>
      <c r="AH196" s="92">
        <f t="shared" si="179"/>
        <v>180</v>
      </c>
    </row>
    <row r="197" spans="1:35" x14ac:dyDescent="0.3">
      <c r="A197" s="223"/>
      <c r="B197" s="4" t="str">
        <f t="shared" ref="B197:J197" si="196">+B168</f>
        <v>ORTO</v>
      </c>
      <c r="C197" s="4" t="str">
        <f t="shared" si="196"/>
        <v>Bicchiere colonna twist2</v>
      </c>
      <c r="D197" s="5">
        <f t="shared" si="196"/>
        <v>1</v>
      </c>
      <c r="E197" s="5">
        <f t="shared" si="196"/>
        <v>1</v>
      </c>
      <c r="F197" s="5">
        <f t="shared" si="196"/>
        <v>0.59</v>
      </c>
      <c r="G197" s="5">
        <f t="shared" si="196"/>
        <v>59</v>
      </c>
      <c r="H197" s="4">
        <f t="shared" si="196"/>
        <v>9.7982366999999995E-5</v>
      </c>
      <c r="I197" s="6">
        <f t="shared" si="196"/>
        <v>0.27217324166666662</v>
      </c>
      <c r="J197" s="6">
        <f t="shared" si="196"/>
        <v>0.24495591749999998</v>
      </c>
      <c r="R197" s="5">
        <f>+'Project Orto'!R115</f>
        <v>12</v>
      </c>
      <c r="S197" s="6">
        <f>+'Project Orto'!S115</f>
        <v>708</v>
      </c>
      <c r="T197" s="6">
        <f>+'Project Orto'!T115</f>
        <v>3.2660788999999992</v>
      </c>
      <c r="U197" s="6">
        <f>+'Project Orto'!U115</f>
        <v>2.9394710099999997</v>
      </c>
      <c r="V197" s="81">
        <f>+'Project Orto'!V115</f>
        <v>5.9911797728161593</v>
      </c>
      <c r="W197" s="82">
        <f>+'Project Orto'!W115</f>
        <v>1.9956068686889997E-2</v>
      </c>
      <c r="X197" s="82">
        <f>+'Project Orto'!X115</f>
        <v>111.51000000000002</v>
      </c>
      <c r="Y197" s="82">
        <f>+'Project Orto'!Y115</f>
        <v>41.687258687258691</v>
      </c>
      <c r="Z197" s="82">
        <f>+'Project Orto'!Z115</f>
        <v>1.8802096585428572</v>
      </c>
      <c r="AA197" s="82">
        <f>+'Project Orto'!AA115</f>
        <v>0.37860808832540094</v>
      </c>
      <c r="AB197" s="82">
        <f>+'Project Orto'!AB115</f>
        <v>0</v>
      </c>
      <c r="AC197" s="83">
        <f t="shared" si="174"/>
        <v>161.46721227563</v>
      </c>
      <c r="AD197" s="93">
        <f t="shared" si="175"/>
        <v>13.455601022969168</v>
      </c>
      <c r="AE197" s="93">
        <f t="shared" si="176"/>
        <v>15</v>
      </c>
      <c r="AF197" s="90">
        <f t="shared" si="177"/>
        <v>1.5443989770308324</v>
      </c>
      <c r="AG197" s="91">
        <f t="shared" si="178"/>
        <v>0.11477740566136667</v>
      </c>
      <c r="AH197" s="92">
        <f t="shared" si="179"/>
        <v>180</v>
      </c>
    </row>
    <row r="198" spans="1:35" x14ac:dyDescent="0.3">
      <c r="A198" s="223"/>
      <c r="B198" s="4" t="str">
        <f t="shared" ref="B198:J198" si="197">+B169</f>
        <v>ORTO</v>
      </c>
      <c r="C198" s="4" t="str">
        <f t="shared" si="197"/>
        <v>Bicchiere colonna twist3</v>
      </c>
      <c r="D198" s="5">
        <f t="shared" si="197"/>
        <v>1</v>
      </c>
      <c r="E198" s="5">
        <f t="shared" si="197"/>
        <v>1</v>
      </c>
      <c r="F198" s="5">
        <f t="shared" si="197"/>
        <v>0.59</v>
      </c>
      <c r="G198" s="5">
        <f t="shared" si="197"/>
        <v>59</v>
      </c>
      <c r="H198" s="4">
        <f t="shared" si="197"/>
        <v>9.7984652999999995E-5</v>
      </c>
      <c r="I198" s="6">
        <f t="shared" si="197"/>
        <v>0.27217959166666666</v>
      </c>
      <c r="J198" s="6">
        <f t="shared" si="197"/>
        <v>0.2449616325</v>
      </c>
      <c r="R198" s="5">
        <f>+'Project Orto'!R116</f>
        <v>12</v>
      </c>
      <c r="S198" s="6">
        <f>+'Project Orto'!S116</f>
        <v>708</v>
      </c>
      <c r="T198" s="6">
        <f>+'Project Orto'!T116</f>
        <v>3.2661550999999998</v>
      </c>
      <c r="U198" s="6">
        <f>+'Project Orto'!U116</f>
        <v>2.9395395899999999</v>
      </c>
      <c r="V198" s="81">
        <f>+'Project Orto'!V116</f>
        <v>5.9911797728161593</v>
      </c>
      <c r="W198" s="82">
        <f>+'Project Orto'!W116</f>
        <v>1.995653427651E-2</v>
      </c>
      <c r="X198" s="82">
        <f>+'Project Orto'!X116</f>
        <v>111.51000000000002</v>
      </c>
      <c r="Y198" s="82">
        <f>+'Project Orto'!Y116</f>
        <v>41.687258687258691</v>
      </c>
      <c r="Z198" s="82">
        <f>+'Project Orto'!Z116</f>
        <v>1.8802096585428572</v>
      </c>
      <c r="AA198" s="82">
        <f>+'Project Orto'!AA116</f>
        <v>0.37861692152790888</v>
      </c>
      <c r="AB198" s="82">
        <f>+'Project Orto'!AB116</f>
        <v>0</v>
      </c>
      <c r="AC198" s="83">
        <f t="shared" si="174"/>
        <v>161.46722157442215</v>
      </c>
      <c r="AD198" s="93">
        <f t="shared" si="175"/>
        <v>13.455601797868512</v>
      </c>
      <c r="AE198" s="93">
        <f t="shared" si="176"/>
        <v>15</v>
      </c>
      <c r="AF198" s="90">
        <f t="shared" si="177"/>
        <v>1.5443982021314877</v>
      </c>
      <c r="AG198" s="91">
        <f t="shared" si="178"/>
        <v>0.11477734146206187</v>
      </c>
      <c r="AH198" s="92">
        <f t="shared" si="179"/>
        <v>180</v>
      </c>
    </row>
    <row r="199" spans="1:35" x14ac:dyDescent="0.3">
      <c r="A199" s="223"/>
      <c r="B199" s="4" t="str">
        <f t="shared" ref="B199:J199" si="198">+B170</f>
        <v>ORTO</v>
      </c>
      <c r="C199" s="4" t="str">
        <f t="shared" si="198"/>
        <v>Bicchiere colonna twist alto</v>
      </c>
      <c r="D199" s="5">
        <f t="shared" si="198"/>
        <v>1</v>
      </c>
      <c r="E199" s="5">
        <f t="shared" si="198"/>
        <v>1</v>
      </c>
      <c r="F199" s="5">
        <f t="shared" si="198"/>
        <v>0.57999999999999996</v>
      </c>
      <c r="G199" s="5">
        <f t="shared" si="198"/>
        <v>58</v>
      </c>
      <c r="H199" s="4">
        <f t="shared" si="198"/>
        <v>9.4065272999999995E-5</v>
      </c>
      <c r="I199" s="6">
        <f t="shared" si="198"/>
        <v>0.26129242499999999</v>
      </c>
      <c r="J199" s="6">
        <f t="shared" si="198"/>
        <v>0.23516318249999998</v>
      </c>
      <c r="R199" s="5">
        <f>+'Project Orto'!R117</f>
        <v>12</v>
      </c>
      <c r="S199" s="6">
        <f>+'Project Orto'!S117</f>
        <v>696</v>
      </c>
      <c r="T199" s="6">
        <f>+'Project Orto'!T117</f>
        <v>3.1355091000000002</v>
      </c>
      <c r="U199" s="6">
        <f>+'Project Orto'!U117</f>
        <v>2.8219581899999997</v>
      </c>
      <c r="V199" s="81">
        <f>+'Project Orto'!V117</f>
        <v>5.8896343529379198</v>
      </c>
      <c r="W199" s="82">
        <f>+'Project Orto'!W117</f>
        <v>1.9158274151909998E-2</v>
      </c>
      <c r="X199" s="82">
        <f>+'Project Orto'!X117</f>
        <v>109.62000000000002</v>
      </c>
      <c r="Y199" s="82">
        <f>+'Project Orto'!Y117</f>
        <v>40.980694980694977</v>
      </c>
      <c r="Z199" s="82">
        <f>+'Project Orto'!Z117</f>
        <v>1.8483416982285714</v>
      </c>
      <c r="AA199" s="82">
        <f>+'Project Orto'!AA117</f>
        <v>0.36347226831473628</v>
      </c>
      <c r="AB199" s="82">
        <f>+'Project Orto'!AB117</f>
        <v>0</v>
      </c>
      <c r="AC199" s="83">
        <f t="shared" si="174"/>
        <v>158.72130157432812</v>
      </c>
      <c r="AD199" s="93">
        <f t="shared" si="175"/>
        <v>13.22677513119401</v>
      </c>
      <c r="AE199" s="93">
        <f t="shared" si="176"/>
        <v>15</v>
      </c>
      <c r="AF199" s="90">
        <f t="shared" si="177"/>
        <v>1.7732248688059897</v>
      </c>
      <c r="AG199" s="91">
        <f t="shared" si="178"/>
        <v>0.13406328082376015</v>
      </c>
      <c r="AH199" s="92">
        <f t="shared" si="179"/>
        <v>180</v>
      </c>
    </row>
    <row r="200" spans="1:35" x14ac:dyDescent="0.3">
      <c r="A200" s="223"/>
      <c r="B200" s="4" t="str">
        <f t="shared" ref="B200:J200" si="199">+B171</f>
        <v>LA GALLINA</v>
      </c>
      <c r="C200" s="4" t="str">
        <f t="shared" si="199"/>
        <v>Oliera1</v>
      </c>
      <c r="D200" s="5">
        <f t="shared" si="199"/>
        <v>2</v>
      </c>
      <c r="E200" s="5">
        <f t="shared" si="199"/>
        <v>1</v>
      </c>
      <c r="F200" s="5">
        <f t="shared" si="199"/>
        <v>0.54</v>
      </c>
      <c r="G200" s="5">
        <f t="shared" si="199"/>
        <v>54</v>
      </c>
      <c r="H200" s="4">
        <f t="shared" si="199"/>
        <v>1.830542E-4</v>
      </c>
      <c r="I200" s="6">
        <f t="shared" si="199"/>
        <v>0.50848388888888885</v>
      </c>
      <c r="J200" s="6">
        <f t="shared" si="199"/>
        <v>0.45763549999999997</v>
      </c>
      <c r="R200" s="5">
        <f>+'Project La Gallina'!R53</f>
        <v>10</v>
      </c>
      <c r="S200" s="6">
        <f>+'Project La Gallina'!S53</f>
        <v>540</v>
      </c>
      <c r="T200" s="6">
        <f>+'Project La Gallina'!T53</f>
        <v>5.0848388888888882</v>
      </c>
      <c r="U200" s="6">
        <f>+'Project La Gallina'!U53</f>
        <v>4.5763549999999995</v>
      </c>
      <c r="V200" s="81">
        <f>+'Project La Gallina'!V53</f>
        <v>4.5695438945208</v>
      </c>
      <c r="W200" s="82">
        <f>+'Project La Gallina'!W53</f>
        <v>3.1068874094999997E-2</v>
      </c>
      <c r="X200" s="82">
        <f>+'Project La Gallina'!X53</f>
        <v>85.050000000000011</v>
      </c>
      <c r="Y200" s="82">
        <f>+'Project La Gallina'!Y53</f>
        <v>31.795366795366796</v>
      </c>
      <c r="Z200" s="82">
        <f>+'Project La Gallina'!Z53</f>
        <v>1.2857142857142856</v>
      </c>
      <c r="AA200" s="82">
        <f>+'Project La Gallina'!AA53</f>
        <v>0.5894410974471187</v>
      </c>
      <c r="AB200" s="82">
        <f>+'Project La Gallina'!AB53</f>
        <v>0</v>
      </c>
      <c r="AC200" s="83">
        <f t="shared" si="174"/>
        <v>123.32113494714402</v>
      </c>
      <c r="AD200" s="93">
        <f t="shared" si="175"/>
        <v>12.332113494714402</v>
      </c>
      <c r="AE200" s="93">
        <f t="shared" si="176"/>
        <v>20</v>
      </c>
      <c r="AF200" s="90">
        <f t="shared" si="177"/>
        <v>7.6678865052855976</v>
      </c>
      <c r="AG200" s="91">
        <f t="shared" si="178"/>
        <v>0.62178202532534976</v>
      </c>
      <c r="AH200" s="92">
        <f t="shared" si="179"/>
        <v>200</v>
      </c>
    </row>
    <row r="201" spans="1:35" ht="15" thickBot="1" x14ac:dyDescent="0.35">
      <c r="A201" s="224"/>
      <c r="B201" s="4" t="str">
        <f t="shared" ref="B201:J201" si="200">+B172</f>
        <v>LA GALLINA</v>
      </c>
      <c r="C201" s="4" t="str">
        <f t="shared" si="200"/>
        <v>Piatto spirale</v>
      </c>
      <c r="D201" s="5">
        <f t="shared" si="200"/>
        <v>4</v>
      </c>
      <c r="E201" s="5">
        <f t="shared" si="200"/>
        <v>5</v>
      </c>
      <c r="F201" s="5">
        <f t="shared" si="200"/>
        <v>0.25</v>
      </c>
      <c r="G201" s="5">
        <f t="shared" si="200"/>
        <v>25</v>
      </c>
      <c r="H201" s="4">
        <f t="shared" si="200"/>
        <v>1.575448E-4</v>
      </c>
      <c r="I201" s="6">
        <f t="shared" si="200"/>
        <v>0.43762444444444443</v>
      </c>
      <c r="J201" s="6">
        <f t="shared" si="200"/>
        <v>0.39386199999999999</v>
      </c>
      <c r="R201" s="5">
        <f>+'Project La Gallina'!R54</f>
        <v>10</v>
      </c>
      <c r="S201" s="6">
        <f>+'Project La Gallina'!S54</f>
        <v>250</v>
      </c>
      <c r="T201" s="6">
        <f>+'Project La Gallina'!T54</f>
        <v>4.3762444444444446</v>
      </c>
      <c r="U201" s="6">
        <f>+'Project La Gallina'!U54</f>
        <v>3.9386199999999998</v>
      </c>
      <c r="V201" s="84">
        <f>+'Project La Gallina'!V54</f>
        <v>2.1155295807966668</v>
      </c>
      <c r="W201" s="85">
        <f>+'Project La Gallina'!W54</f>
        <v>2.6739291179999999E-2</v>
      </c>
      <c r="X201" s="85">
        <f>+'Project La Gallina'!X54</f>
        <v>39.375000000000007</v>
      </c>
      <c r="Y201" s="85">
        <f>+'Project La Gallina'!Y54</f>
        <v>14.72007722007722</v>
      </c>
      <c r="Z201" s="85">
        <f>+'Project La Gallina'!Z54</f>
        <v>0.59523809523809523</v>
      </c>
      <c r="AA201" s="85">
        <f>+'Project La Gallina'!AA54</f>
        <v>0.50729991340863434</v>
      </c>
      <c r="AB201" s="85">
        <f>+'Project La Gallina'!AB54</f>
        <v>0</v>
      </c>
      <c r="AC201" s="83">
        <f t="shared" si="174"/>
        <v>57.33988410070063</v>
      </c>
      <c r="AD201" s="93">
        <f t="shared" si="175"/>
        <v>5.7339884100700633</v>
      </c>
      <c r="AE201" s="93">
        <f t="shared" si="176"/>
        <v>15</v>
      </c>
      <c r="AF201" s="90">
        <f t="shared" si="177"/>
        <v>9.2660115899299367</v>
      </c>
      <c r="AG201" s="91">
        <f t="shared" si="178"/>
        <v>1.6159801742286248</v>
      </c>
      <c r="AH201" s="92">
        <f t="shared" si="179"/>
        <v>150</v>
      </c>
    </row>
    <row r="204" spans="1:35" ht="18.600000000000001" thickBot="1" x14ac:dyDescent="0.4">
      <c r="D204" s="237" t="s">
        <v>40</v>
      </c>
      <c r="E204" s="237"/>
      <c r="F204" s="237"/>
      <c r="G204" s="237"/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10" t="s">
        <v>32</v>
      </c>
      <c r="S204" s="87">
        <f>+S206/60/7</f>
        <v>20.461904761904758</v>
      </c>
      <c r="T204" s="88" t="s">
        <v>83</v>
      </c>
    </row>
    <row r="205" spans="1:35" x14ac:dyDescent="0.3">
      <c r="D205" s="236" t="s">
        <v>33</v>
      </c>
      <c r="E205" s="236"/>
      <c r="F205" s="236"/>
      <c r="G205" s="236"/>
      <c r="H205" s="236"/>
      <c r="I205" s="236"/>
      <c r="J205" s="236"/>
      <c r="M205" s="236" t="s">
        <v>36</v>
      </c>
      <c r="N205" s="236"/>
      <c r="O205" s="236"/>
      <c r="P205" s="236"/>
      <c r="Q205" s="236"/>
      <c r="V205" s="238" t="s">
        <v>135</v>
      </c>
      <c r="W205" s="239"/>
      <c r="X205" s="239"/>
      <c r="Y205" s="239"/>
      <c r="Z205" s="239"/>
      <c r="AA205" s="239"/>
      <c r="AB205" s="239"/>
      <c r="AC205" s="240"/>
    </row>
    <row r="206" spans="1:35" ht="18" x14ac:dyDescent="0.35">
      <c r="B206" s="178" t="s">
        <v>466</v>
      </c>
      <c r="F206" s="225" t="s">
        <v>44</v>
      </c>
      <c r="G206" s="225"/>
      <c r="I206" s="20">
        <f>SUBTOTAL(9,I208:I230)</f>
        <v>59.570075669444442</v>
      </c>
      <c r="J206" s="20">
        <f>SUBTOTAL(9,J208:J230)</f>
        <v>53.613068102499987</v>
      </c>
      <c r="K206" s="1">
        <f>+'Finished goods'!$I$3</f>
        <v>2500</v>
      </c>
      <c r="L206" s="1">
        <f>+'Finished goods'!$J$3</f>
        <v>0.9</v>
      </c>
      <c r="M206" s="15">
        <f>+'Finished goods'!$K$3</f>
        <v>0.50772709939119998</v>
      </c>
      <c r="N206" s="15">
        <f>+'Finished goods'!$L$3</f>
        <v>6.7889999999999999E-3</v>
      </c>
      <c r="O206" s="13">
        <f>+'Finished goods'!$M$3</f>
        <v>0.15750000000000003</v>
      </c>
      <c r="P206" s="46">
        <f>+'Finished goods'!$N$3</f>
        <v>5.8880308880308881E-2</v>
      </c>
      <c r="Q206" s="1"/>
      <c r="S206" s="17">
        <f>SUBTOTAL(9,S208:S230)</f>
        <v>8594</v>
      </c>
      <c r="T206" s="17">
        <f>SUBTOTAL(9,T208:T230)</f>
        <v>162.95047083611109</v>
      </c>
      <c r="U206" s="75">
        <f>SUBTOTAL(9,U208:U230)</f>
        <v>146.65542375250001</v>
      </c>
      <c r="V206" s="77">
        <f t="shared" ref="V206:AC206" si="201">SUBTOTAL(9,V208:V230)</f>
        <v>72.723444869466206</v>
      </c>
      <c r="W206" s="17">
        <f t="shared" si="201"/>
        <v>0.99564367185572245</v>
      </c>
      <c r="X206" s="17">
        <f t="shared" si="201"/>
        <v>1353.5550000000003</v>
      </c>
      <c r="Y206" s="17">
        <f t="shared" si="201"/>
        <v>506.01737451737455</v>
      </c>
      <c r="Z206" s="17">
        <f t="shared" si="201"/>
        <v>22.605749238676189</v>
      </c>
      <c r="AA206" s="17">
        <f t="shared" si="201"/>
        <v>18.889429234236815</v>
      </c>
      <c r="AB206" s="17">
        <f t="shared" si="201"/>
        <v>468</v>
      </c>
      <c r="AC206" s="78">
        <f t="shared" si="201"/>
        <v>2442.7866415316093</v>
      </c>
      <c r="AF206" s="225" t="s">
        <v>118</v>
      </c>
      <c r="AG206" s="225"/>
      <c r="AH206" s="108">
        <f t="shared" ref="AH206" si="202">SUBTOTAL(9,AH208:AH230)</f>
        <v>8320</v>
      </c>
      <c r="AI206" s="95"/>
    </row>
    <row r="207" spans="1:35" x14ac:dyDescent="0.3">
      <c r="A207" s="1" t="s">
        <v>145</v>
      </c>
      <c r="B207" s="1" t="s">
        <v>30</v>
      </c>
      <c r="C207" s="1" t="s">
        <v>0</v>
      </c>
      <c r="D207" s="1" t="s">
        <v>4</v>
      </c>
      <c r="E207" s="1" t="s">
        <v>5</v>
      </c>
      <c r="F207" s="1" t="s">
        <v>45</v>
      </c>
      <c r="G207" s="1" t="s">
        <v>57</v>
      </c>
      <c r="H207" s="1" t="s">
        <v>6</v>
      </c>
      <c r="I207" s="1" t="s">
        <v>2</v>
      </c>
      <c r="J207" s="1" t="s">
        <v>7</v>
      </c>
      <c r="K207" s="1" t="s">
        <v>31</v>
      </c>
      <c r="L207" s="1" t="s">
        <v>8</v>
      </c>
      <c r="M207" s="1" t="s">
        <v>34</v>
      </c>
      <c r="N207" s="1" t="s">
        <v>35</v>
      </c>
      <c r="O207" s="1" t="s">
        <v>37</v>
      </c>
      <c r="P207" s="1" t="s">
        <v>93</v>
      </c>
      <c r="Q207" s="1" t="s">
        <v>94</v>
      </c>
      <c r="R207" s="11" t="s">
        <v>39</v>
      </c>
      <c r="S207" s="2" t="s">
        <v>43</v>
      </c>
      <c r="T207" s="2" t="s">
        <v>2</v>
      </c>
      <c r="U207" s="76" t="s">
        <v>7</v>
      </c>
      <c r="V207" s="2" t="str">
        <f>+V4</f>
        <v>energia €/h</v>
      </c>
      <c r="W207" s="2" t="str">
        <f t="shared" ref="W207:AB207" si="203">+W4</f>
        <v>materiale €/Kg</v>
      </c>
      <c r="X207" s="2" t="str">
        <f t="shared" si="203"/>
        <v>mod</v>
      </c>
      <c r="Y207" s="2" t="str">
        <f t="shared" si="203"/>
        <v>ammort</v>
      </c>
      <c r="Z207" s="2" t="str">
        <f t="shared" si="203"/>
        <v>Accensione</v>
      </c>
      <c r="AA207" s="2" t="str">
        <f t="shared" si="203"/>
        <v>trasporto</v>
      </c>
      <c r="AB207" s="2" t="str">
        <f t="shared" si="203"/>
        <v>forniture</v>
      </c>
      <c r="AC207" s="80" t="s">
        <v>42</v>
      </c>
      <c r="AD207" s="53" t="s">
        <v>116</v>
      </c>
      <c r="AE207" s="1" t="s">
        <v>117</v>
      </c>
      <c r="AF207" s="1" t="s">
        <v>119</v>
      </c>
      <c r="AG207" s="1" t="s">
        <v>120</v>
      </c>
      <c r="AH207" s="1" t="s">
        <v>121</v>
      </c>
    </row>
    <row r="208" spans="1:35" ht="14.4" customHeight="1" x14ac:dyDescent="0.3">
      <c r="A208" s="222" t="s">
        <v>418</v>
      </c>
      <c r="B208" s="4" t="str">
        <f>+B179</f>
        <v>OSTELLIERE</v>
      </c>
      <c r="C208" s="4" t="str">
        <f>+C179</f>
        <v>Tavolo twist Logo</v>
      </c>
      <c r="D208" s="5">
        <f>+D179</f>
        <v>8</v>
      </c>
      <c r="E208" s="5">
        <f>+E179</f>
        <v>10</v>
      </c>
      <c r="F208" s="5">
        <f>+F179</f>
        <v>1.22</v>
      </c>
      <c r="G208" s="5">
        <f t="shared" ref="G208:J208" si="204">+G179</f>
        <v>82</v>
      </c>
      <c r="H208" s="4">
        <f t="shared" si="204"/>
        <v>7.9769999999999997E-3</v>
      </c>
      <c r="I208" s="6">
        <f t="shared" si="204"/>
        <v>22.158333333333331</v>
      </c>
      <c r="J208" s="6">
        <f t="shared" si="204"/>
        <v>19.942499999999999</v>
      </c>
      <c r="R208" s="5">
        <f>+'Project Ostelliere'!R117</f>
        <v>2</v>
      </c>
      <c r="S208" s="6">
        <f>+'Project Ostelliere'!S117</f>
        <v>164</v>
      </c>
      <c r="T208" s="6">
        <f>+'Project Ostelliere'!T117</f>
        <v>44.316666666666663</v>
      </c>
      <c r="U208" s="6">
        <f>+'Project Ostelliere'!U117</f>
        <v>39.884999999999998</v>
      </c>
      <c r="V208" s="81">
        <f>+'Project Ostelliere'!V117</f>
        <v>1.3877874050026131</v>
      </c>
      <c r="W208" s="82">
        <f>+'Project Ostelliere'!W117</f>
        <v>0.27077926499999999</v>
      </c>
      <c r="X208" s="82">
        <f>+'Project Ostelliere'!X117</f>
        <v>25.830000000000005</v>
      </c>
      <c r="Y208" s="82">
        <f>+'Project Ostelliere'!Y117</f>
        <v>9.6563706563706564</v>
      </c>
      <c r="Z208" s="82">
        <f>+'Project Ostelliere'!Z117</f>
        <v>0.43552879096190478</v>
      </c>
      <c r="AA208" s="82">
        <f>+'Project Ostelliere'!AA117</f>
        <v>5.1372452905594805</v>
      </c>
      <c r="AB208" s="82">
        <f>+'Project Ostelliere'!AB117</f>
        <v>300</v>
      </c>
      <c r="AC208" s="83">
        <f>SUM(V208:AB208)</f>
        <v>342.71771140789463</v>
      </c>
      <c r="AD208" s="93">
        <f>+AC208/R208</f>
        <v>171.35885570394731</v>
      </c>
      <c r="AE208" s="93">
        <f>+AE179</f>
        <v>800</v>
      </c>
      <c r="AF208" s="90">
        <f>+AE208-AD208</f>
        <v>628.64114429605274</v>
      </c>
      <c r="AG208" s="91">
        <f>+AF208/AD208</f>
        <v>3.6685652557235873</v>
      </c>
      <c r="AH208" s="92">
        <f>+AE208*R208</f>
        <v>1600</v>
      </c>
    </row>
    <row r="209" spans="1:34" x14ac:dyDescent="0.3">
      <c r="A209" s="223"/>
      <c r="B209" s="4" t="str">
        <f t="shared" ref="B209:J209" si="205">+B180</f>
        <v>OSTELLIERE</v>
      </c>
      <c r="C209" s="4" t="str">
        <f t="shared" si="205"/>
        <v xml:space="preserve">Vaso bitorzolo curvo </v>
      </c>
      <c r="D209" s="5">
        <f t="shared" si="205"/>
        <v>4</v>
      </c>
      <c r="E209" s="5">
        <f t="shared" si="205"/>
        <v>2</v>
      </c>
      <c r="F209" s="5">
        <f t="shared" si="205"/>
        <v>5.21</v>
      </c>
      <c r="G209" s="5">
        <f t="shared" si="205"/>
        <v>321</v>
      </c>
      <c r="H209" s="4">
        <f t="shared" si="205"/>
        <v>6.0029599999999995E-4</v>
      </c>
      <c r="I209" s="6">
        <f t="shared" si="205"/>
        <v>1.6674888888888888</v>
      </c>
      <c r="J209" s="6">
        <f t="shared" si="205"/>
        <v>1.50074</v>
      </c>
      <c r="R209" s="5">
        <f>+'Project Ostelliere'!R118</f>
        <v>2</v>
      </c>
      <c r="S209" s="6">
        <f>+'Project Ostelliere'!S118</f>
        <v>642</v>
      </c>
      <c r="T209" s="6">
        <f>+'Project Ostelliere'!T118</f>
        <v>3.3349777777777776</v>
      </c>
      <c r="U209" s="6">
        <f>+'Project Ostelliere'!U118</f>
        <v>3.0014799999999999</v>
      </c>
      <c r="V209" s="81">
        <f>+'Project Ostelliere'!V118</f>
        <v>5.4326799634858398</v>
      </c>
      <c r="W209" s="82">
        <f>+'Project Ostelliere'!W118</f>
        <v>2.0377047719999999E-2</v>
      </c>
      <c r="X209" s="82">
        <f>+'Project Ostelliere'!X118</f>
        <v>101.11500000000002</v>
      </c>
      <c r="Y209" s="82">
        <f>+'Project Ostelliere'!Y118</f>
        <v>37.801158301158303</v>
      </c>
      <c r="Z209" s="82">
        <f>+'Project Ostelliere'!Z118</f>
        <v>1.7049358768142857</v>
      </c>
      <c r="AA209" s="82">
        <f>+'Project Ostelliere'!AA118</f>
        <v>0.38659493530671857</v>
      </c>
      <c r="AB209" s="82">
        <f>+'Project Ostelliere'!AB118</f>
        <v>0</v>
      </c>
      <c r="AC209" s="83">
        <f t="shared" ref="AC209:AC230" si="206">SUM(V209:AB209)</f>
        <v>146.46074612448518</v>
      </c>
      <c r="AD209" s="93">
        <f t="shared" ref="AD209:AD230" si="207">+AC209/R209</f>
        <v>73.230373062242592</v>
      </c>
      <c r="AE209" s="93">
        <f t="shared" ref="AE209:AE230" si="208">+AE180</f>
        <v>250</v>
      </c>
      <c r="AF209" s="90">
        <f t="shared" ref="AF209:AF230" si="209">+AE209-AD209</f>
        <v>176.76962693775741</v>
      </c>
      <c r="AG209" s="91">
        <f t="shared" ref="AG209:AG230" si="210">+AF209/AD209</f>
        <v>2.4138840148678611</v>
      </c>
      <c r="AH209" s="92">
        <f t="shared" ref="AH209:AH230" si="211">+AE209*R209</f>
        <v>500</v>
      </c>
    </row>
    <row r="210" spans="1:34" x14ac:dyDescent="0.3">
      <c r="A210" s="223"/>
      <c r="B210" s="4" t="str">
        <f t="shared" ref="B210:J210" si="212">+B181</f>
        <v>OSTELLIERE</v>
      </c>
      <c r="C210" s="4" t="str">
        <f t="shared" si="212"/>
        <v>Vaso bitorzolo twist</v>
      </c>
      <c r="D210" s="5">
        <f t="shared" si="212"/>
        <v>4</v>
      </c>
      <c r="E210" s="5">
        <f t="shared" si="212"/>
        <v>2</v>
      </c>
      <c r="F210" s="5">
        <f t="shared" si="212"/>
        <v>5.15</v>
      </c>
      <c r="G210" s="5">
        <f t="shared" si="212"/>
        <v>315</v>
      </c>
      <c r="H210" s="4">
        <f t="shared" si="212"/>
        <v>8.005105E-4</v>
      </c>
      <c r="I210" s="6">
        <f t="shared" si="212"/>
        <v>2.2236402777777777</v>
      </c>
      <c r="J210" s="6">
        <f t="shared" si="212"/>
        <v>2.0012762500000001</v>
      </c>
      <c r="R210" s="5">
        <f>+'Project Ostelliere'!R119</f>
        <v>2</v>
      </c>
      <c r="S210" s="6">
        <f>+'Project Ostelliere'!S119</f>
        <v>630</v>
      </c>
      <c r="T210" s="6">
        <f>+'Project Ostelliere'!T119</f>
        <v>4.4472805555555555</v>
      </c>
      <c r="U210" s="6">
        <f>+'Project Ostelliere'!U119</f>
        <v>4.0025525000000002</v>
      </c>
      <c r="V210" s="81">
        <f>+'Project Ostelliere'!V119</f>
        <v>5.3311345436076003</v>
      </c>
      <c r="W210" s="82">
        <f>+'Project Ostelliere'!W119</f>
        <v>2.71733289225E-2</v>
      </c>
      <c r="X210" s="82">
        <f>+'Project Ostelliere'!X119</f>
        <v>99.225000000000023</v>
      </c>
      <c r="Y210" s="82">
        <f>+'Project Ostelliere'!Y119</f>
        <v>37.094594594594597</v>
      </c>
      <c r="Z210" s="82">
        <f>+'Project Ostelliere'!Z119</f>
        <v>1.6730679165000002</v>
      </c>
      <c r="AA210" s="82">
        <f>+'Project Ostelliere'!AA119</f>
        <v>0.51553451124086935</v>
      </c>
      <c r="AB210" s="82">
        <f>+'Project Ostelliere'!AB119</f>
        <v>0</v>
      </c>
      <c r="AC210" s="83">
        <f t="shared" si="206"/>
        <v>143.86650489486561</v>
      </c>
      <c r="AD210" s="93">
        <f t="shared" si="207"/>
        <v>71.933252447432807</v>
      </c>
      <c r="AE210" s="93">
        <f t="shared" si="208"/>
        <v>250</v>
      </c>
      <c r="AF210" s="90">
        <f t="shared" si="209"/>
        <v>178.06674755256719</v>
      </c>
      <c r="AG210" s="91">
        <f t="shared" si="210"/>
        <v>2.475444130413738</v>
      </c>
      <c r="AH210" s="92">
        <f t="shared" si="211"/>
        <v>500</v>
      </c>
    </row>
    <row r="211" spans="1:34" x14ac:dyDescent="0.3">
      <c r="A211" s="223"/>
      <c r="B211" s="4" t="str">
        <f t="shared" ref="B211:J211" si="213">+B182</f>
        <v>OSTELLIERE</v>
      </c>
      <c r="C211" s="4" t="str">
        <f t="shared" si="213"/>
        <v>Vaso bitorzolo dritto</v>
      </c>
      <c r="D211" s="5">
        <f t="shared" si="213"/>
        <v>4</v>
      </c>
      <c r="E211" s="5">
        <f t="shared" si="213"/>
        <v>2</v>
      </c>
      <c r="F211" s="5">
        <f t="shared" si="213"/>
        <v>4.4800000000000004</v>
      </c>
      <c r="G211" s="5">
        <f t="shared" si="213"/>
        <v>288</v>
      </c>
      <c r="H211" s="4">
        <f t="shared" si="213"/>
        <v>8.2321687099999998E-4</v>
      </c>
      <c r="I211" s="6">
        <f t="shared" si="213"/>
        <v>2.2867135305555553</v>
      </c>
      <c r="J211" s="6">
        <f t="shared" si="213"/>
        <v>2.0580421775</v>
      </c>
      <c r="R211" s="5">
        <f>+'Project Ostelliere'!R120</f>
        <v>2</v>
      </c>
      <c r="S211" s="6">
        <f>+'Project Ostelliere'!S120</f>
        <v>576</v>
      </c>
      <c r="T211" s="6">
        <f>+'Project Ostelliere'!T120</f>
        <v>4.5734270611111105</v>
      </c>
      <c r="U211" s="6">
        <f>+'Project Ostelliere'!U120</f>
        <v>4.1160843549999999</v>
      </c>
      <c r="V211" s="81">
        <f>+'Project Ostelliere'!V120</f>
        <v>4.8741801541555203</v>
      </c>
      <c r="W211" s="82">
        <f>+'Project Ostelliere'!W120</f>
        <v>2.7944096686094998E-2</v>
      </c>
      <c r="X211" s="82">
        <f>+'Project Ostelliere'!X120</f>
        <v>90.720000000000013</v>
      </c>
      <c r="Y211" s="82">
        <f>+'Project Ostelliere'!Y120</f>
        <v>33.915057915057915</v>
      </c>
      <c r="Z211" s="82">
        <f>+'Project Ostelliere'!Z120</f>
        <v>1.5296620950857143</v>
      </c>
      <c r="AA211" s="82">
        <f>+'Project Ostelliere'!AA120</f>
        <v>0.53015757724130141</v>
      </c>
      <c r="AB211" s="82">
        <f>+'Project Ostelliere'!AB120</f>
        <v>0</v>
      </c>
      <c r="AC211" s="83">
        <f t="shared" si="206"/>
        <v>131.59700183822656</v>
      </c>
      <c r="AD211" s="93">
        <f t="shared" si="207"/>
        <v>65.79850091911328</v>
      </c>
      <c r="AE211" s="93">
        <f t="shared" si="208"/>
        <v>250</v>
      </c>
      <c r="AF211" s="90">
        <f t="shared" si="209"/>
        <v>184.20149908088672</v>
      </c>
      <c r="AG211" s="91">
        <f t="shared" si="210"/>
        <v>2.7994786584473612</v>
      </c>
      <c r="AH211" s="92">
        <f t="shared" si="211"/>
        <v>500</v>
      </c>
    </row>
    <row r="212" spans="1:34" x14ac:dyDescent="0.3">
      <c r="A212" s="223"/>
      <c r="B212" s="4" t="str">
        <f t="shared" ref="B212:J212" si="214">+B183</f>
        <v>OSTELLIERE</v>
      </c>
      <c r="C212" s="4" t="str">
        <f t="shared" si="214"/>
        <v>Porta riviste</v>
      </c>
      <c r="D212" s="5">
        <f t="shared" si="214"/>
        <v>10</v>
      </c>
      <c r="E212" s="5">
        <f t="shared" si="214"/>
        <v>10</v>
      </c>
      <c r="F212" s="5">
        <f t="shared" si="214"/>
        <v>0.42</v>
      </c>
      <c r="G212" s="5">
        <f t="shared" si="214"/>
        <v>42</v>
      </c>
      <c r="H212" s="4">
        <f t="shared" si="214"/>
        <v>3.5606798E-3</v>
      </c>
      <c r="I212" s="6">
        <f t="shared" si="214"/>
        <v>9.890777222222221</v>
      </c>
      <c r="J212" s="6">
        <f t="shared" si="214"/>
        <v>8.9016994999999994</v>
      </c>
      <c r="R212" s="5">
        <f>+'Project Ostelliere'!R121</f>
        <v>2</v>
      </c>
      <c r="S212" s="6">
        <f>+'Project Ostelliere'!S121</f>
        <v>84</v>
      </c>
      <c r="T212" s="6">
        <f>+'Project Ostelliere'!T121</f>
        <v>19.781554444444442</v>
      </c>
      <c r="U212" s="6">
        <f>+'Project Ostelliere'!U121</f>
        <v>17.803398999999999</v>
      </c>
      <c r="V212" s="81">
        <f>+'Project Ostelliere'!V121</f>
        <v>0.71081793914767988</v>
      </c>
      <c r="W212" s="82">
        <f>+'Project Ostelliere'!W121</f>
        <v>0.12086727581099999</v>
      </c>
      <c r="X212" s="82">
        <f>+'Project Ostelliere'!X121</f>
        <v>13.230000000000002</v>
      </c>
      <c r="Y212" s="82">
        <f>+'Project Ostelliere'!Y121</f>
        <v>4.9459459459459456</v>
      </c>
      <c r="Z212" s="82">
        <f>+'Project Ostelliere'!Z121</f>
        <v>0.22307572219999999</v>
      </c>
      <c r="AA212" s="82">
        <f>+'Project Ostelliere'!AA121</f>
        <v>2.2931033638887142</v>
      </c>
      <c r="AB212" s="82">
        <f>+'Project Ostelliere'!AB121</f>
        <v>0</v>
      </c>
      <c r="AC212" s="83">
        <f t="shared" si="206"/>
        <v>21.523810246993346</v>
      </c>
      <c r="AD212" s="93">
        <f t="shared" si="207"/>
        <v>10.761905123496673</v>
      </c>
      <c r="AE212" s="93">
        <f t="shared" si="208"/>
        <v>130</v>
      </c>
      <c r="AF212" s="90">
        <f t="shared" si="209"/>
        <v>119.23809487650333</v>
      </c>
      <c r="AG212" s="91">
        <f t="shared" si="210"/>
        <v>11.079645611832103</v>
      </c>
      <c r="AH212" s="92">
        <f t="shared" si="211"/>
        <v>260</v>
      </c>
    </row>
    <row r="213" spans="1:34" x14ac:dyDescent="0.3">
      <c r="A213" s="223"/>
      <c r="B213" s="4" t="str">
        <f t="shared" ref="B213:J213" si="215">+B184</f>
        <v>OSTELLIERE</v>
      </c>
      <c r="C213" s="4" t="str">
        <f t="shared" si="215"/>
        <v>Lampada 90 grossa</v>
      </c>
      <c r="D213" s="5">
        <f t="shared" si="215"/>
        <v>8</v>
      </c>
      <c r="E213" s="5">
        <f t="shared" si="215"/>
        <v>10</v>
      </c>
      <c r="F213" s="5">
        <f t="shared" si="215"/>
        <v>1.39</v>
      </c>
      <c r="G213" s="5">
        <f t="shared" si="215"/>
        <v>99</v>
      </c>
      <c r="H213" s="4">
        <f t="shared" si="215"/>
        <v>1.7366300000000001E-3</v>
      </c>
      <c r="I213" s="6">
        <f t="shared" si="215"/>
        <v>4.8239722222222232</v>
      </c>
      <c r="J213" s="6">
        <f t="shared" si="215"/>
        <v>4.3415750000000006</v>
      </c>
      <c r="R213" s="5">
        <f>+'Project Ostelliere'!R122</f>
        <v>1</v>
      </c>
      <c r="S213" s="6">
        <f>+'Project Ostelliere'!S122</f>
        <v>99</v>
      </c>
      <c r="T213" s="6">
        <f>+'Project Ostelliere'!T122</f>
        <v>4.8239722222222232</v>
      </c>
      <c r="U213" s="6">
        <f>+'Project Ostelliere'!U122</f>
        <v>4.3415750000000006</v>
      </c>
      <c r="V213" s="81">
        <f>+'Project Ostelliere'!V122</f>
        <v>0.83774971399547993</v>
      </c>
      <c r="W213" s="82">
        <f>+'Project Ostelliere'!W122</f>
        <v>2.9474952675000003E-2</v>
      </c>
      <c r="X213" s="82">
        <f>+'Project Ostelliere'!X122</f>
        <v>15.592500000000003</v>
      </c>
      <c r="Y213" s="82">
        <f>+'Project Ostelliere'!Y122</f>
        <v>5.8291505791505793</v>
      </c>
      <c r="Z213" s="82">
        <f>+'Project Ostelliere'!Z122</f>
        <v>0.26291067259285716</v>
      </c>
      <c r="AA213" s="82">
        <f>+'Project Ostelliere'!AA122</f>
        <v>0.55920109621062508</v>
      </c>
      <c r="AB213" s="82">
        <f>+'Project Ostelliere'!AB122</f>
        <v>24</v>
      </c>
      <c r="AC213" s="83">
        <f t="shared" si="206"/>
        <v>47.110987014624541</v>
      </c>
      <c r="AD213" s="93">
        <f t="shared" si="207"/>
        <v>47.110987014624541</v>
      </c>
      <c r="AE213" s="93">
        <f t="shared" si="208"/>
        <v>400</v>
      </c>
      <c r="AF213" s="90">
        <f t="shared" si="209"/>
        <v>352.88901298537547</v>
      </c>
      <c r="AG213" s="91">
        <f t="shared" si="210"/>
        <v>7.4905884029945931</v>
      </c>
      <c r="AH213" s="92">
        <f t="shared" si="211"/>
        <v>400</v>
      </c>
    </row>
    <row r="214" spans="1:34" x14ac:dyDescent="0.3">
      <c r="A214" s="223"/>
      <c r="B214" s="4" t="str">
        <f t="shared" ref="B214:J214" si="216">+B185</f>
        <v>OSTELLIERE</v>
      </c>
      <c r="C214" s="4" t="str">
        <f t="shared" si="216"/>
        <v>Lampada 90 piccola</v>
      </c>
      <c r="D214" s="5">
        <f t="shared" si="216"/>
        <v>5</v>
      </c>
      <c r="E214" s="5">
        <f t="shared" si="216"/>
        <v>10</v>
      </c>
      <c r="F214" s="5">
        <f t="shared" si="216"/>
        <v>1.1499999999999999</v>
      </c>
      <c r="G214" s="5">
        <f t="shared" si="216"/>
        <v>75</v>
      </c>
      <c r="H214" s="4">
        <f t="shared" si="216"/>
        <v>8.1557296000000004E-4</v>
      </c>
      <c r="I214" s="6">
        <f t="shared" si="216"/>
        <v>2.2654804444444445</v>
      </c>
      <c r="J214" s="6">
        <f t="shared" si="216"/>
        <v>2.0389324000000002</v>
      </c>
      <c r="R214" s="5">
        <f>+'Project Ostelliere'!R123</f>
        <v>6</v>
      </c>
      <c r="S214" s="6">
        <f>+'Project Ostelliere'!S123</f>
        <v>450</v>
      </c>
      <c r="T214" s="6">
        <f>+'Project Ostelliere'!T123</f>
        <v>13.592882666666668</v>
      </c>
      <c r="U214" s="6">
        <f>+'Project Ostelliere'!U123</f>
        <v>12.233594400000001</v>
      </c>
      <c r="V214" s="81">
        <f>+'Project Ostelliere'!V123</f>
        <v>3.8079532454339997</v>
      </c>
      <c r="W214" s="82">
        <f>+'Project Ostelliere'!W123</f>
        <v>8.3053872381600002E-2</v>
      </c>
      <c r="X214" s="82">
        <f>+'Project Ostelliere'!X123</f>
        <v>70.875000000000014</v>
      </c>
      <c r="Y214" s="82">
        <f>+'Project Ostelliere'!Y123</f>
        <v>26.496138996138995</v>
      </c>
      <c r="Z214" s="82">
        <f>+'Project Ostelliere'!Z123</f>
        <v>1.1950485117857144</v>
      </c>
      <c r="AA214" s="82">
        <f>+'Project Ostelliere'!AA123</f>
        <v>1.5757045309769298</v>
      </c>
      <c r="AB214" s="82">
        <f>+'Project Ostelliere'!AB123</f>
        <v>144</v>
      </c>
      <c r="AC214" s="83">
        <f t="shared" si="206"/>
        <v>248.03289915671726</v>
      </c>
      <c r="AD214" s="93">
        <f t="shared" si="207"/>
        <v>41.338816526119544</v>
      </c>
      <c r="AE214" s="93">
        <f t="shared" si="208"/>
        <v>200</v>
      </c>
      <c r="AF214" s="90">
        <f t="shared" si="209"/>
        <v>158.66118347388044</v>
      </c>
      <c r="AG214" s="91">
        <f t="shared" si="210"/>
        <v>3.8380678695441572</v>
      </c>
      <c r="AH214" s="92">
        <f t="shared" si="211"/>
        <v>1200</v>
      </c>
    </row>
    <row r="215" spans="1:34" x14ac:dyDescent="0.3">
      <c r="A215" s="223"/>
      <c r="B215" s="4" t="str">
        <f t="shared" ref="B215:J215" si="217">+B186</f>
        <v>OSTELLIERE</v>
      </c>
      <c r="C215" s="4" t="str">
        <f t="shared" si="217"/>
        <v>Vaso Logo</v>
      </c>
      <c r="D215" s="5">
        <f t="shared" si="217"/>
        <v>5</v>
      </c>
      <c r="E215" s="5">
        <f t="shared" si="217"/>
        <v>10</v>
      </c>
      <c r="F215" s="5">
        <f t="shared" si="217"/>
        <v>0.39</v>
      </c>
      <c r="G215" s="5">
        <f t="shared" si="217"/>
        <v>39</v>
      </c>
      <c r="H215" s="4">
        <f t="shared" si="217"/>
        <v>1.1639584900000001E-3</v>
      </c>
      <c r="I215" s="6">
        <f t="shared" si="217"/>
        <v>3.2332180277777778</v>
      </c>
      <c r="J215" s="6">
        <f t="shared" si="217"/>
        <v>2.9098962250000002</v>
      </c>
      <c r="R215" s="5">
        <f>+'Project Ostelliere'!R124</f>
        <v>3</v>
      </c>
      <c r="S215" s="6">
        <f>+'Project Ostelliere'!S124</f>
        <v>117</v>
      </c>
      <c r="T215" s="6">
        <f>+'Project Ostelliere'!T124</f>
        <v>9.6996540833333338</v>
      </c>
      <c r="U215" s="6">
        <f>+'Project Ostelliere'!U124</f>
        <v>8.7296886750000002</v>
      </c>
      <c r="V215" s="81">
        <f>+'Project Ostelliere'!V124</f>
        <v>0.99006784381283996</v>
      </c>
      <c r="W215" s="82">
        <f>+'Project Ostelliere'!W124</f>
        <v>5.9265856414574998E-2</v>
      </c>
      <c r="X215" s="82">
        <f>+'Project Ostelliere'!X124</f>
        <v>18.427500000000002</v>
      </c>
      <c r="Y215" s="82">
        <f>+'Project Ostelliere'!Y124</f>
        <v>6.8889961389961387</v>
      </c>
      <c r="Z215" s="82">
        <f>+'Project Ostelliere'!Z124</f>
        <v>0.31071261306428571</v>
      </c>
      <c r="AA215" s="82">
        <f>+'Project Ostelliere'!AA124</f>
        <v>1.1243964406091058</v>
      </c>
      <c r="AB215" s="82">
        <f>+'Project Ostelliere'!AB124</f>
        <v>0</v>
      </c>
      <c r="AC215" s="83">
        <f t="shared" si="206"/>
        <v>27.800938892896948</v>
      </c>
      <c r="AD215" s="93">
        <f t="shared" si="207"/>
        <v>9.2669796309656487</v>
      </c>
      <c r="AE215" s="93">
        <f t="shared" si="208"/>
        <v>310</v>
      </c>
      <c r="AF215" s="90">
        <f t="shared" si="209"/>
        <v>300.73302036903436</v>
      </c>
      <c r="AG215" s="91">
        <f t="shared" si="210"/>
        <v>32.452107627833108</v>
      </c>
      <c r="AH215" s="92">
        <f t="shared" si="211"/>
        <v>930</v>
      </c>
    </row>
    <row r="216" spans="1:34" x14ac:dyDescent="0.3">
      <c r="A216" s="223"/>
      <c r="B216" s="4" t="str">
        <f t="shared" ref="B216:J216" si="218">+B187</f>
        <v>OSTELLIERE</v>
      </c>
      <c r="C216" s="4" t="str">
        <f t="shared" si="218"/>
        <v>Copri candela</v>
      </c>
      <c r="D216" s="5">
        <f t="shared" si="218"/>
        <v>4</v>
      </c>
      <c r="E216" s="5">
        <f t="shared" si="218"/>
        <v>5</v>
      </c>
      <c r="F216" s="5">
        <f t="shared" si="218"/>
        <v>0.34</v>
      </c>
      <c r="G216" s="5">
        <f t="shared" si="218"/>
        <v>34</v>
      </c>
      <c r="H216" s="4">
        <f t="shared" si="218"/>
        <v>2.3780405299999999E-4</v>
      </c>
      <c r="I216" s="6">
        <f t="shared" si="218"/>
        <v>0.66056681388888883</v>
      </c>
      <c r="J216" s="6">
        <f t="shared" si="218"/>
        <v>0.59451013249999995</v>
      </c>
      <c r="R216" s="5">
        <f>+'Project Ostelliere'!R125</f>
        <v>15</v>
      </c>
      <c r="S216" s="6">
        <f>+'Project Ostelliere'!S125</f>
        <v>510</v>
      </c>
      <c r="T216" s="6">
        <f>+'Project Ostelliere'!T125</f>
        <v>9.9085022083333332</v>
      </c>
      <c r="U216" s="6">
        <f>+'Project Ostelliere'!U125</f>
        <v>8.9176519874999993</v>
      </c>
      <c r="V216" s="81">
        <f>+'Project Ostelliere'!V125</f>
        <v>4.3156803448251999</v>
      </c>
      <c r="W216" s="82">
        <f>+'Project Ostelliere'!W125</f>
        <v>6.0541939343137494E-2</v>
      </c>
      <c r="X216" s="82">
        <f>+'Project Ostelliere'!X125</f>
        <v>80.325000000000017</v>
      </c>
      <c r="Y216" s="82">
        <f>+'Project Ostelliere'!Y125</f>
        <v>30.02895752895753</v>
      </c>
      <c r="Z216" s="82">
        <f>+'Project Ostelliere'!Z125</f>
        <v>1.3543883133571428</v>
      </c>
      <c r="AA216" s="82">
        <f>+'Project Ostelliere'!AA125</f>
        <v>1.1486063852484083</v>
      </c>
      <c r="AB216" s="82">
        <f>+'Project Ostelliere'!AB125</f>
        <v>0</v>
      </c>
      <c r="AC216" s="83">
        <f t="shared" si="206"/>
        <v>117.23317451173145</v>
      </c>
      <c r="AD216" s="93">
        <f t="shared" si="207"/>
        <v>7.8155449674487629</v>
      </c>
      <c r="AE216" s="93">
        <f t="shared" si="208"/>
        <v>20</v>
      </c>
      <c r="AF216" s="90">
        <f t="shared" si="209"/>
        <v>12.184455032551238</v>
      </c>
      <c r="AG216" s="91">
        <f t="shared" si="210"/>
        <v>1.5590026138034778</v>
      </c>
      <c r="AH216" s="92">
        <f t="shared" si="211"/>
        <v>300</v>
      </c>
    </row>
    <row r="217" spans="1:34" x14ac:dyDescent="0.3">
      <c r="A217" s="223"/>
      <c r="B217" s="4" t="str">
        <f t="shared" ref="B217:J217" si="219">+B188</f>
        <v>OSTELLIERE</v>
      </c>
      <c r="C217" s="4" t="str">
        <f t="shared" si="219"/>
        <v xml:space="preserve">Vaso Grosso </v>
      </c>
      <c r="D217" s="5">
        <f t="shared" si="219"/>
        <v>4</v>
      </c>
      <c r="E217" s="5">
        <f t="shared" si="219"/>
        <v>5</v>
      </c>
      <c r="F217" s="5">
        <f t="shared" si="219"/>
        <v>1.31</v>
      </c>
      <c r="G217" s="5">
        <f t="shared" si="219"/>
        <v>91</v>
      </c>
      <c r="H217" s="4">
        <f t="shared" si="219"/>
        <v>9.52764444E-4</v>
      </c>
      <c r="I217" s="6">
        <f t="shared" si="219"/>
        <v>2.6465679</v>
      </c>
      <c r="J217" s="6">
        <f t="shared" si="219"/>
        <v>2.3819111099999999</v>
      </c>
      <c r="R217" s="5">
        <f>+'Project Ostelliere'!R126</f>
        <v>2</v>
      </c>
      <c r="S217" s="6">
        <f>+'Project Ostelliere'!S126</f>
        <v>182</v>
      </c>
      <c r="T217" s="6">
        <f>+'Project Ostelliere'!T126</f>
        <v>5.2931357999999999</v>
      </c>
      <c r="U217" s="6">
        <f>+'Project Ostelliere'!U126</f>
        <v>4.7638222199999998</v>
      </c>
      <c r="V217" s="81">
        <f>+'Project Ostelliere'!V126</f>
        <v>1.5401055348199733</v>
      </c>
      <c r="W217" s="82">
        <f>+'Project Ostelliere'!W126</f>
        <v>3.2341589051580001E-2</v>
      </c>
      <c r="X217" s="82">
        <f>+'Project Ostelliere'!X126</f>
        <v>28.665000000000006</v>
      </c>
      <c r="Y217" s="82">
        <f>+'Project Ostelliere'!Y126</f>
        <v>10.716216216216216</v>
      </c>
      <c r="Z217" s="82">
        <f>+'Project Ostelliere'!Z126</f>
        <v>0.48333073143333333</v>
      </c>
      <c r="AA217" s="82">
        <f>+'Project Ostelliere'!AA126</f>
        <v>0.61358714465983732</v>
      </c>
      <c r="AB217" s="82">
        <f>+'Project Ostelliere'!AB126</f>
        <v>0</v>
      </c>
      <c r="AC217" s="83">
        <f t="shared" si="206"/>
        <v>42.050581216180944</v>
      </c>
      <c r="AD217" s="93">
        <f t="shared" si="207"/>
        <v>21.025290608090472</v>
      </c>
      <c r="AE217" s="93">
        <f t="shared" si="208"/>
        <v>200</v>
      </c>
      <c r="AF217" s="90">
        <f t="shared" si="209"/>
        <v>178.97470939190953</v>
      </c>
      <c r="AG217" s="91">
        <f t="shared" si="210"/>
        <v>8.5123536567452049</v>
      </c>
      <c r="AH217" s="92">
        <f t="shared" si="211"/>
        <v>400</v>
      </c>
    </row>
    <row r="218" spans="1:34" x14ac:dyDescent="0.3">
      <c r="A218" s="223"/>
      <c r="B218" s="4" t="str">
        <f t="shared" ref="B218:J218" si="220">+B189</f>
        <v>ORTO</v>
      </c>
      <c r="C218" s="4" t="str">
        <f t="shared" si="220"/>
        <v>Bicchiere curve dritto</v>
      </c>
      <c r="D218" s="5">
        <f t="shared" si="220"/>
        <v>2</v>
      </c>
      <c r="E218" s="5">
        <f t="shared" si="220"/>
        <v>2</v>
      </c>
      <c r="F218" s="5">
        <f t="shared" si="220"/>
        <v>0.26</v>
      </c>
      <c r="G218" s="5">
        <f t="shared" si="220"/>
        <v>26</v>
      </c>
      <c r="H218" s="4">
        <f t="shared" si="220"/>
        <v>1.6928511099999999E-4</v>
      </c>
      <c r="I218" s="6">
        <f t="shared" si="220"/>
        <v>0.47023641944444439</v>
      </c>
      <c r="J218" s="6">
        <f t="shared" si="220"/>
        <v>0.42321277749999997</v>
      </c>
      <c r="R218" s="5">
        <f>+'Project Orto'!R124</f>
        <v>12</v>
      </c>
      <c r="S218" s="6">
        <f>+'Project Orto'!S124</f>
        <v>312</v>
      </c>
      <c r="T218" s="6">
        <f>+'Project Orto'!T124</f>
        <v>5.6428370333333326</v>
      </c>
      <c r="U218" s="6">
        <f>+'Project Orto'!U124</f>
        <v>5.0785533300000001</v>
      </c>
      <c r="V218" s="81">
        <f>+'Project Orto'!V124</f>
        <v>2.6401809168342401</v>
      </c>
      <c r="W218" s="82">
        <f>+'Project Orto'!W124</f>
        <v>3.4478298557370002E-2</v>
      </c>
      <c r="X218" s="82">
        <f>+'Project Orto'!X124</f>
        <v>49.140000000000008</v>
      </c>
      <c r="Y218" s="82">
        <f>+'Project Orto'!Y124</f>
        <v>18.37065637065637</v>
      </c>
      <c r="Z218" s="82">
        <f>+'Project Orto'!Z124</f>
        <v>0.82856696817142861</v>
      </c>
      <c r="AA218" s="82">
        <f>+'Project Orto'!AA124</f>
        <v>0.65412496370559525</v>
      </c>
      <c r="AB218" s="82">
        <f>+'Project Orto'!AB124</f>
        <v>0</v>
      </c>
      <c r="AC218" s="83">
        <f t="shared" si="206"/>
        <v>71.668007517925005</v>
      </c>
      <c r="AD218" s="93">
        <f t="shared" si="207"/>
        <v>5.9723339598270835</v>
      </c>
      <c r="AE218" s="93">
        <f t="shared" si="208"/>
        <v>15</v>
      </c>
      <c r="AF218" s="90">
        <f t="shared" si="209"/>
        <v>9.0276660401729174</v>
      </c>
      <c r="AG218" s="91">
        <f t="shared" si="210"/>
        <v>1.5115809164218765</v>
      </c>
      <c r="AH218" s="92">
        <f t="shared" si="211"/>
        <v>180</v>
      </c>
    </row>
    <row r="219" spans="1:34" x14ac:dyDescent="0.3">
      <c r="A219" s="223"/>
      <c r="B219" s="4" t="str">
        <f t="shared" ref="B219:J219" si="221">+B190</f>
        <v>ORTO</v>
      </c>
      <c r="C219" s="4" t="str">
        <f t="shared" si="221"/>
        <v>Bicchiere curve twist</v>
      </c>
      <c r="D219" s="5">
        <f t="shared" si="221"/>
        <v>2</v>
      </c>
      <c r="E219" s="5">
        <f t="shared" si="221"/>
        <v>2</v>
      </c>
      <c r="F219" s="5">
        <f t="shared" si="221"/>
        <v>0.25</v>
      </c>
      <c r="G219" s="5">
        <f t="shared" si="221"/>
        <v>25</v>
      </c>
      <c r="H219" s="4">
        <f t="shared" si="221"/>
        <v>1.69285896E-4</v>
      </c>
      <c r="I219" s="6">
        <f t="shared" si="221"/>
        <v>0.47023859999999995</v>
      </c>
      <c r="J219" s="6">
        <f t="shared" si="221"/>
        <v>0.42321473999999998</v>
      </c>
      <c r="R219" s="5">
        <f>+'Project Orto'!R125</f>
        <v>12</v>
      </c>
      <c r="S219" s="6">
        <f>+'Project Orto'!S125</f>
        <v>300</v>
      </c>
      <c r="T219" s="6">
        <f>+'Project Orto'!T125</f>
        <v>5.642863199999999</v>
      </c>
      <c r="U219" s="6">
        <f>+'Project Orto'!U125</f>
        <v>5.07857688</v>
      </c>
      <c r="V219" s="81">
        <f>+'Project Orto'!V125</f>
        <v>2.5386354969559997</v>
      </c>
      <c r="W219" s="82">
        <f>+'Project Orto'!W125</f>
        <v>3.4478458438320002E-2</v>
      </c>
      <c r="X219" s="82">
        <f>+'Project Orto'!X125</f>
        <v>47.250000000000007</v>
      </c>
      <c r="Y219" s="82">
        <f>+'Project Orto'!Y125</f>
        <v>17.664092664092664</v>
      </c>
      <c r="Z219" s="82">
        <f>+'Project Orto'!Z125</f>
        <v>0.79669900785714287</v>
      </c>
      <c r="AA219" s="82">
        <f>+'Project Orto'!AA125</f>
        <v>0.65412799697942225</v>
      </c>
      <c r="AB219" s="82">
        <f>+'Project Orto'!AB125</f>
        <v>0</v>
      </c>
      <c r="AC219" s="83">
        <f t="shared" si="206"/>
        <v>68.938033624323552</v>
      </c>
      <c r="AD219" s="93">
        <f t="shared" si="207"/>
        <v>5.7448361353602957</v>
      </c>
      <c r="AE219" s="93">
        <f t="shared" si="208"/>
        <v>15</v>
      </c>
      <c r="AF219" s="90">
        <f t="shared" si="209"/>
        <v>9.2551638646397052</v>
      </c>
      <c r="AG219" s="91">
        <f t="shared" si="210"/>
        <v>1.6110405321524901</v>
      </c>
      <c r="AH219" s="92">
        <f t="shared" si="211"/>
        <v>180</v>
      </c>
    </row>
    <row r="220" spans="1:34" x14ac:dyDescent="0.3">
      <c r="A220" s="223"/>
      <c r="B220" s="4" t="str">
        <f t="shared" ref="B220:J220" si="222">+B191</f>
        <v>ORTO</v>
      </c>
      <c r="C220" s="4" t="str">
        <f t="shared" si="222"/>
        <v>Caraffa curva</v>
      </c>
      <c r="D220" s="5">
        <f t="shared" si="222"/>
        <v>2</v>
      </c>
      <c r="E220" s="5">
        <f t="shared" si="222"/>
        <v>2</v>
      </c>
      <c r="F220" s="5">
        <f t="shared" si="222"/>
        <v>0.56999999999999995</v>
      </c>
      <c r="G220" s="5">
        <f t="shared" si="222"/>
        <v>57</v>
      </c>
      <c r="H220" s="4">
        <f t="shared" si="222"/>
        <v>3.69342133E-4</v>
      </c>
      <c r="I220" s="6">
        <f t="shared" si="222"/>
        <v>1.0259503694444445</v>
      </c>
      <c r="J220" s="6">
        <f t="shared" si="222"/>
        <v>0.92335533250000001</v>
      </c>
      <c r="R220" s="5">
        <f>+'Project Orto'!R126</f>
        <v>2</v>
      </c>
      <c r="S220" s="6">
        <f>+'Project Orto'!S126</f>
        <v>114</v>
      </c>
      <c r="T220" s="6">
        <f>+'Project Orto'!T126</f>
        <v>2.051900738888889</v>
      </c>
      <c r="U220" s="6">
        <f>+'Project Orto'!U126</f>
        <v>1.846710665</v>
      </c>
      <c r="V220" s="81">
        <f>+'Project Orto'!V126</f>
        <v>0.96468148884327987</v>
      </c>
      <c r="W220" s="82">
        <f>+'Project Orto'!W126</f>
        <v>1.2537318704685E-2</v>
      </c>
      <c r="X220" s="82">
        <f>+'Project Orto'!X126</f>
        <v>17.955000000000002</v>
      </c>
      <c r="Y220" s="82">
        <f>+'Project Orto'!Y126</f>
        <v>6.7123552123552122</v>
      </c>
      <c r="Z220" s="82">
        <f>+'Project Orto'!Z126</f>
        <v>0.30274562298571428</v>
      </c>
      <c r="AA220" s="82">
        <f>+'Project Orto'!AA126</f>
        <v>0.23785898625541477</v>
      </c>
      <c r="AB220" s="82">
        <f>+'Project Orto'!AB126</f>
        <v>0</v>
      </c>
      <c r="AC220" s="83">
        <f t="shared" si="206"/>
        <v>26.185178629144307</v>
      </c>
      <c r="AD220" s="93">
        <f t="shared" si="207"/>
        <v>13.092589314572153</v>
      </c>
      <c r="AE220" s="93">
        <f t="shared" si="208"/>
        <v>30</v>
      </c>
      <c r="AF220" s="90">
        <f t="shared" si="209"/>
        <v>16.907410685427848</v>
      </c>
      <c r="AG220" s="91">
        <f t="shared" si="210"/>
        <v>1.2913725680381474</v>
      </c>
      <c r="AH220" s="92">
        <f t="shared" si="211"/>
        <v>60</v>
      </c>
    </row>
    <row r="221" spans="1:34" x14ac:dyDescent="0.3">
      <c r="A221" s="223"/>
      <c r="B221" s="4" t="str">
        <f t="shared" ref="B221:J221" si="223">+B192</f>
        <v>ORTO</v>
      </c>
      <c r="C221" s="4" t="str">
        <f t="shared" si="223"/>
        <v>Caraffa colonna dritta</v>
      </c>
      <c r="D221" s="5">
        <f t="shared" si="223"/>
        <v>2</v>
      </c>
      <c r="E221" s="5">
        <f t="shared" si="223"/>
        <v>1</v>
      </c>
      <c r="F221" s="5">
        <f t="shared" si="223"/>
        <v>1.4</v>
      </c>
      <c r="G221" s="5">
        <f t="shared" si="223"/>
        <v>100</v>
      </c>
      <c r="H221" s="4">
        <f t="shared" si="223"/>
        <v>3.2796365999999998E-4</v>
      </c>
      <c r="I221" s="6">
        <f t="shared" si="223"/>
        <v>0.91101016666666657</v>
      </c>
      <c r="J221" s="6">
        <f t="shared" si="223"/>
        <v>0.81990914999999998</v>
      </c>
      <c r="R221" s="5">
        <f>+'Project Orto'!R127</f>
        <v>2</v>
      </c>
      <c r="S221" s="6">
        <f>+'Project Orto'!S127</f>
        <v>200</v>
      </c>
      <c r="T221" s="6">
        <f>+'Project Orto'!T127</f>
        <v>1.8220203333333331</v>
      </c>
      <c r="U221" s="6">
        <f>+'Project Orto'!U127</f>
        <v>1.6398183</v>
      </c>
      <c r="V221" s="81">
        <f>+'Project Orto'!V127</f>
        <v>1.6924236646373332</v>
      </c>
      <c r="W221" s="82">
        <f>+'Project Orto'!W127</f>
        <v>1.1132726438699999E-2</v>
      </c>
      <c r="X221" s="82">
        <f>+'Project Orto'!X127</f>
        <v>31.500000000000007</v>
      </c>
      <c r="Y221" s="82">
        <f>+'Project Orto'!Y127</f>
        <v>11.776061776061777</v>
      </c>
      <c r="Z221" s="82">
        <f>+'Project Orto'!Z127</f>
        <v>0.53113267190476188</v>
      </c>
      <c r="AA221" s="82">
        <f>+'Project Orto'!AA127</f>
        <v>0.21121095246454188</v>
      </c>
      <c r="AB221" s="82">
        <f>+'Project Orto'!AB127</f>
        <v>0</v>
      </c>
      <c r="AC221" s="83">
        <f t="shared" si="206"/>
        <v>45.72196179150712</v>
      </c>
      <c r="AD221" s="93">
        <f t="shared" si="207"/>
        <v>22.86098089575356</v>
      </c>
      <c r="AE221" s="93">
        <f t="shared" si="208"/>
        <v>30</v>
      </c>
      <c r="AF221" s="90">
        <f t="shared" si="209"/>
        <v>7.1390191042464402</v>
      </c>
      <c r="AG221" s="91">
        <f t="shared" si="210"/>
        <v>0.31227964962660537</v>
      </c>
      <c r="AH221" s="92">
        <f t="shared" si="211"/>
        <v>60</v>
      </c>
    </row>
    <row r="222" spans="1:34" x14ac:dyDescent="0.3">
      <c r="A222" s="223"/>
      <c r="B222" s="4" t="str">
        <f t="shared" ref="B222:J222" si="224">+B193</f>
        <v>ORTO</v>
      </c>
      <c r="C222" s="4" t="str">
        <f t="shared" si="224"/>
        <v>Caraffa colonna twist1</v>
      </c>
      <c r="D222" s="5">
        <f t="shared" si="224"/>
        <v>2</v>
      </c>
      <c r="E222" s="5">
        <f t="shared" si="224"/>
        <v>1</v>
      </c>
      <c r="F222" s="5">
        <f t="shared" si="224"/>
        <v>1.41</v>
      </c>
      <c r="G222" s="5">
        <f t="shared" si="224"/>
        <v>101</v>
      </c>
      <c r="H222" s="4">
        <f t="shared" si="224"/>
        <v>3.323221E-4</v>
      </c>
      <c r="I222" s="6">
        <f t="shared" si="224"/>
        <v>0.92311694444444448</v>
      </c>
      <c r="J222" s="6">
        <f t="shared" si="224"/>
        <v>0.83080525000000005</v>
      </c>
      <c r="R222" s="5">
        <f>+'Project Orto'!R128</f>
        <v>2</v>
      </c>
      <c r="S222" s="6">
        <f>+'Project Orto'!S128</f>
        <v>202</v>
      </c>
      <c r="T222" s="6">
        <f>+'Project Orto'!T128</f>
        <v>1.846233888888889</v>
      </c>
      <c r="U222" s="6">
        <f>+'Project Orto'!U128</f>
        <v>1.6616105000000001</v>
      </c>
      <c r="V222" s="81">
        <f>+'Project Orto'!V128</f>
        <v>1.7093479012837065</v>
      </c>
      <c r="W222" s="82">
        <f>+'Project Orto'!W128</f>
        <v>1.12806736845E-2</v>
      </c>
      <c r="X222" s="82">
        <f>+'Project Orto'!X128</f>
        <v>31.815000000000005</v>
      </c>
      <c r="Y222" s="82">
        <f>+'Project Orto'!Y128</f>
        <v>11.893822393822393</v>
      </c>
      <c r="Z222" s="82">
        <f>+'Project Orto'!Z128</f>
        <v>0.53644399862380954</v>
      </c>
      <c r="AA222" s="82">
        <f>+'Project Orto'!AA128</f>
        <v>0.21401781912671894</v>
      </c>
      <c r="AB222" s="82">
        <f>+'Project Orto'!AB128</f>
        <v>0</v>
      </c>
      <c r="AC222" s="83">
        <f t="shared" si="206"/>
        <v>46.179912786541131</v>
      </c>
      <c r="AD222" s="93">
        <f t="shared" si="207"/>
        <v>23.089956393270565</v>
      </c>
      <c r="AE222" s="93">
        <f t="shared" si="208"/>
        <v>30</v>
      </c>
      <c r="AF222" s="90">
        <f t="shared" si="209"/>
        <v>6.9100436067294346</v>
      </c>
      <c r="AG222" s="91">
        <f t="shared" si="210"/>
        <v>0.29926620427673595</v>
      </c>
      <c r="AH222" s="92">
        <f t="shared" si="211"/>
        <v>60</v>
      </c>
    </row>
    <row r="223" spans="1:34" x14ac:dyDescent="0.3">
      <c r="A223" s="223"/>
      <c r="B223" s="4" t="str">
        <f t="shared" ref="B223:J223" si="225">+B194</f>
        <v>ORTO</v>
      </c>
      <c r="C223" s="4" t="str">
        <f t="shared" si="225"/>
        <v>Caraffa colonna twist2</v>
      </c>
      <c r="D223" s="5">
        <f t="shared" si="225"/>
        <v>2</v>
      </c>
      <c r="E223" s="5">
        <f t="shared" si="225"/>
        <v>1</v>
      </c>
      <c r="F223" s="5">
        <f t="shared" si="225"/>
        <v>1.45</v>
      </c>
      <c r="G223" s="5">
        <f t="shared" si="225"/>
        <v>105</v>
      </c>
      <c r="H223" s="4">
        <f t="shared" si="225"/>
        <v>3.4271101000000001E-4</v>
      </c>
      <c r="I223" s="6">
        <f t="shared" si="225"/>
        <v>0.95197502777777776</v>
      </c>
      <c r="J223" s="6">
        <f t="shared" si="225"/>
        <v>0.85677752500000004</v>
      </c>
      <c r="R223" s="5">
        <f>+'Project Orto'!R129</f>
        <v>2</v>
      </c>
      <c r="S223" s="6">
        <f>+'Project Orto'!S129</f>
        <v>210</v>
      </c>
      <c r="T223" s="6">
        <f>+'Project Orto'!T129</f>
        <v>1.9039500555555555</v>
      </c>
      <c r="U223" s="6">
        <f>+'Project Orto'!U129</f>
        <v>1.7135550500000001</v>
      </c>
      <c r="V223" s="81">
        <f>+'Project Orto'!V129</f>
        <v>1.7770448478691998</v>
      </c>
      <c r="W223" s="82">
        <f>+'Project Orto'!W129</f>
        <v>1.1633325234450001E-2</v>
      </c>
      <c r="X223" s="82">
        <f>+'Project Orto'!X129</f>
        <v>33.075000000000003</v>
      </c>
      <c r="Y223" s="82">
        <f>+'Project Orto'!Y129</f>
        <v>12.364864864864865</v>
      </c>
      <c r="Z223" s="82">
        <f>+'Project Orto'!Z129</f>
        <v>0.55768930550000007</v>
      </c>
      <c r="AA223" s="82">
        <f>+'Project Orto'!AA129</f>
        <v>0.22070835177953907</v>
      </c>
      <c r="AB223" s="82">
        <f>+'Project Orto'!AB129</f>
        <v>0</v>
      </c>
      <c r="AC223" s="83">
        <f t="shared" si="206"/>
        <v>48.006940695248055</v>
      </c>
      <c r="AD223" s="93">
        <f t="shared" si="207"/>
        <v>24.003470347624027</v>
      </c>
      <c r="AE223" s="93">
        <f t="shared" si="208"/>
        <v>30</v>
      </c>
      <c r="AF223" s="90">
        <f t="shared" si="209"/>
        <v>5.9965296523759726</v>
      </c>
      <c r="AG223" s="91">
        <f t="shared" si="210"/>
        <v>0.24981927885979771</v>
      </c>
      <c r="AH223" s="92">
        <f t="shared" si="211"/>
        <v>60</v>
      </c>
    </row>
    <row r="224" spans="1:34" x14ac:dyDescent="0.3">
      <c r="A224" s="223"/>
      <c r="B224" s="4" t="str">
        <f t="shared" ref="B224:J224" si="226">+B195</f>
        <v>ORTO</v>
      </c>
      <c r="C224" s="4" t="str">
        <f t="shared" si="226"/>
        <v>Caraffa colonna twist3</v>
      </c>
      <c r="D224" s="5">
        <f t="shared" si="226"/>
        <v>2</v>
      </c>
      <c r="E224" s="5">
        <f t="shared" si="226"/>
        <v>1</v>
      </c>
      <c r="F224" s="5">
        <f t="shared" si="226"/>
        <v>1.42</v>
      </c>
      <c r="G224" s="5">
        <f t="shared" si="226"/>
        <v>102</v>
      </c>
      <c r="H224" s="4">
        <f t="shared" si="226"/>
        <v>3.3727121999999998E-4</v>
      </c>
      <c r="I224" s="6">
        <f t="shared" si="226"/>
        <v>0.93686449999999988</v>
      </c>
      <c r="J224" s="6">
        <f t="shared" si="226"/>
        <v>0.8431780499999999</v>
      </c>
      <c r="R224" s="5">
        <f>+'Project Orto'!R130</f>
        <v>2</v>
      </c>
      <c r="S224" s="6">
        <f>+'Project Orto'!S130</f>
        <v>204</v>
      </c>
      <c r="T224" s="6">
        <f>+'Project Orto'!T130</f>
        <v>1.8737289999999998</v>
      </c>
      <c r="U224" s="6">
        <f>+'Project Orto'!U130</f>
        <v>1.6863560999999998</v>
      </c>
      <c r="V224" s="81">
        <f>+'Project Orto'!V130</f>
        <v>1.7262721379300801</v>
      </c>
      <c r="W224" s="82">
        <f>+'Project Orto'!W130</f>
        <v>1.1448671562899998E-2</v>
      </c>
      <c r="X224" s="82">
        <f>+'Project Orto'!X130</f>
        <v>32.130000000000003</v>
      </c>
      <c r="Y224" s="82">
        <f>+'Project Orto'!Y130</f>
        <v>12.011583011583012</v>
      </c>
      <c r="Z224" s="82">
        <f>+'Project Orto'!Z130</f>
        <v>0.5417553253428572</v>
      </c>
      <c r="AA224" s="82">
        <f>+'Project Orto'!AA130</f>
        <v>0.21720508795114082</v>
      </c>
      <c r="AB224" s="82">
        <f>+'Project Orto'!AB130</f>
        <v>0</v>
      </c>
      <c r="AC224" s="83">
        <f t="shared" si="206"/>
        <v>46.638264234369991</v>
      </c>
      <c r="AD224" s="93">
        <f t="shared" si="207"/>
        <v>23.319132117184996</v>
      </c>
      <c r="AE224" s="93">
        <f t="shared" si="208"/>
        <v>30</v>
      </c>
      <c r="AF224" s="90">
        <f t="shared" si="209"/>
        <v>6.6808678828150043</v>
      </c>
      <c r="AG224" s="91">
        <f t="shared" si="210"/>
        <v>0.28649727825383131</v>
      </c>
      <c r="AH224" s="92">
        <f t="shared" si="211"/>
        <v>60</v>
      </c>
    </row>
    <row r="225" spans="1:35" x14ac:dyDescent="0.3">
      <c r="A225" s="223"/>
      <c r="B225" s="4" t="str">
        <f t="shared" ref="B225:J225" si="227">+B196</f>
        <v>ORTO</v>
      </c>
      <c r="C225" s="4" t="str">
        <f t="shared" si="227"/>
        <v>Bicchiere colonna twist1</v>
      </c>
      <c r="D225" s="5">
        <f t="shared" si="227"/>
        <v>1</v>
      </c>
      <c r="E225" s="5">
        <f t="shared" si="227"/>
        <v>1</v>
      </c>
      <c r="F225" s="5">
        <f t="shared" si="227"/>
        <v>0.57999999999999996</v>
      </c>
      <c r="G225" s="5">
        <f t="shared" si="227"/>
        <v>58</v>
      </c>
      <c r="H225" s="4">
        <f t="shared" si="227"/>
        <v>9.7981700000000004E-5</v>
      </c>
      <c r="I225" s="6">
        <f t="shared" si="227"/>
        <v>0.27217138888888892</v>
      </c>
      <c r="J225" s="6">
        <f t="shared" si="227"/>
        <v>0.24495425000000001</v>
      </c>
      <c r="R225" s="5">
        <f>+'Project Orto'!R131</f>
        <v>12</v>
      </c>
      <c r="S225" s="6">
        <f>+'Project Orto'!S131</f>
        <v>696</v>
      </c>
      <c r="T225" s="6">
        <f>+'Project Orto'!T131</f>
        <v>3.2660566666666671</v>
      </c>
      <c r="U225" s="6">
        <f>+'Project Orto'!U131</f>
        <v>2.939451</v>
      </c>
      <c r="V225" s="81">
        <f>+'Project Orto'!V131</f>
        <v>5.8896343529379198</v>
      </c>
      <c r="W225" s="82">
        <f>+'Project Orto'!W131</f>
        <v>1.9955932839000001E-2</v>
      </c>
      <c r="X225" s="82">
        <f>+'Project Orto'!X131</f>
        <v>109.62000000000002</v>
      </c>
      <c r="Y225" s="82">
        <f>+'Project Orto'!Y131</f>
        <v>40.980694980694977</v>
      </c>
      <c r="Z225" s="82">
        <f>+'Project Orto'!Z131</f>
        <v>1.8483416982285714</v>
      </c>
      <c r="AA225" s="82">
        <f>+'Project Orto'!AA131</f>
        <v>0.37860551100865886</v>
      </c>
      <c r="AB225" s="82">
        <f>+'Project Orto'!AB131</f>
        <v>0</v>
      </c>
      <c r="AC225" s="83">
        <f t="shared" si="206"/>
        <v>158.73723247570913</v>
      </c>
      <c r="AD225" s="93">
        <f t="shared" si="207"/>
        <v>13.228102706309095</v>
      </c>
      <c r="AE225" s="93">
        <f t="shared" si="208"/>
        <v>15</v>
      </c>
      <c r="AF225" s="90">
        <f t="shared" si="209"/>
        <v>1.7718972936909054</v>
      </c>
      <c r="AG225" s="91">
        <f t="shared" si="210"/>
        <v>0.13394946599906618</v>
      </c>
      <c r="AH225" s="92">
        <f t="shared" si="211"/>
        <v>180</v>
      </c>
    </row>
    <row r="226" spans="1:35" x14ac:dyDescent="0.3">
      <c r="A226" s="223"/>
      <c r="B226" s="4" t="str">
        <f t="shared" ref="B226:J226" si="228">+B197</f>
        <v>ORTO</v>
      </c>
      <c r="C226" s="4" t="str">
        <f t="shared" si="228"/>
        <v>Bicchiere colonna twist2</v>
      </c>
      <c r="D226" s="5">
        <f t="shared" si="228"/>
        <v>1</v>
      </c>
      <c r="E226" s="5">
        <f t="shared" si="228"/>
        <v>1</v>
      </c>
      <c r="F226" s="5">
        <f t="shared" si="228"/>
        <v>0.59</v>
      </c>
      <c r="G226" s="5">
        <f t="shared" si="228"/>
        <v>59</v>
      </c>
      <c r="H226" s="4">
        <f t="shared" si="228"/>
        <v>9.7982366999999995E-5</v>
      </c>
      <c r="I226" s="6">
        <f t="shared" si="228"/>
        <v>0.27217324166666662</v>
      </c>
      <c r="J226" s="6">
        <f t="shared" si="228"/>
        <v>0.24495591749999998</v>
      </c>
      <c r="R226" s="5">
        <f>+'Project Orto'!R132</f>
        <v>12</v>
      </c>
      <c r="S226" s="6">
        <f>+'Project Orto'!S132</f>
        <v>708</v>
      </c>
      <c r="T226" s="6">
        <f>+'Project Orto'!T132</f>
        <v>3.2660788999999992</v>
      </c>
      <c r="U226" s="6">
        <f>+'Project Orto'!U132</f>
        <v>2.9394710099999997</v>
      </c>
      <c r="V226" s="81">
        <f>+'Project Orto'!V132</f>
        <v>5.9911797728161593</v>
      </c>
      <c r="W226" s="82">
        <f>+'Project Orto'!W132</f>
        <v>1.9956068686889997E-2</v>
      </c>
      <c r="X226" s="82">
        <f>+'Project Orto'!X132</f>
        <v>111.51000000000002</v>
      </c>
      <c r="Y226" s="82">
        <f>+'Project Orto'!Y132</f>
        <v>41.687258687258691</v>
      </c>
      <c r="Z226" s="82">
        <f>+'Project Orto'!Z132</f>
        <v>1.8802096585428572</v>
      </c>
      <c r="AA226" s="82">
        <f>+'Project Orto'!AA132</f>
        <v>0.37860808832540094</v>
      </c>
      <c r="AB226" s="82">
        <f>+'Project Orto'!AB132</f>
        <v>0</v>
      </c>
      <c r="AC226" s="83">
        <f t="shared" si="206"/>
        <v>161.46721227563</v>
      </c>
      <c r="AD226" s="93">
        <f t="shared" si="207"/>
        <v>13.455601022969168</v>
      </c>
      <c r="AE226" s="93">
        <f t="shared" si="208"/>
        <v>15</v>
      </c>
      <c r="AF226" s="90">
        <f t="shared" si="209"/>
        <v>1.5443989770308324</v>
      </c>
      <c r="AG226" s="91">
        <f t="shared" si="210"/>
        <v>0.11477740566136667</v>
      </c>
      <c r="AH226" s="92">
        <f t="shared" si="211"/>
        <v>180</v>
      </c>
    </row>
    <row r="227" spans="1:35" x14ac:dyDescent="0.3">
      <c r="A227" s="223"/>
      <c r="B227" s="4" t="str">
        <f t="shared" ref="B227:J227" si="229">+B198</f>
        <v>ORTO</v>
      </c>
      <c r="C227" s="4" t="str">
        <f t="shared" si="229"/>
        <v>Bicchiere colonna twist3</v>
      </c>
      <c r="D227" s="5">
        <f t="shared" si="229"/>
        <v>1</v>
      </c>
      <c r="E227" s="5">
        <f t="shared" si="229"/>
        <v>1</v>
      </c>
      <c r="F227" s="5">
        <f t="shared" si="229"/>
        <v>0.59</v>
      </c>
      <c r="G227" s="5">
        <f t="shared" si="229"/>
        <v>59</v>
      </c>
      <c r="H227" s="4">
        <f t="shared" si="229"/>
        <v>9.7984652999999995E-5</v>
      </c>
      <c r="I227" s="6">
        <f t="shared" si="229"/>
        <v>0.27217959166666666</v>
      </c>
      <c r="J227" s="6">
        <f t="shared" si="229"/>
        <v>0.2449616325</v>
      </c>
      <c r="R227" s="5">
        <f>+'Project Orto'!R133</f>
        <v>12</v>
      </c>
      <c r="S227" s="6">
        <f>+'Project Orto'!S133</f>
        <v>708</v>
      </c>
      <c r="T227" s="6">
        <f>+'Project Orto'!T133</f>
        <v>3.2661550999999998</v>
      </c>
      <c r="U227" s="6">
        <f>+'Project Orto'!U133</f>
        <v>2.9395395899999999</v>
      </c>
      <c r="V227" s="81">
        <f>+'Project Orto'!V133</f>
        <v>5.9911797728161593</v>
      </c>
      <c r="W227" s="82">
        <f>+'Project Orto'!W133</f>
        <v>1.995653427651E-2</v>
      </c>
      <c r="X227" s="82">
        <f>+'Project Orto'!X133</f>
        <v>111.51000000000002</v>
      </c>
      <c r="Y227" s="82">
        <f>+'Project Orto'!Y133</f>
        <v>41.687258687258691</v>
      </c>
      <c r="Z227" s="82">
        <f>+'Project Orto'!Z133</f>
        <v>1.8802096585428572</v>
      </c>
      <c r="AA227" s="82">
        <f>+'Project Orto'!AA133</f>
        <v>0.37861692152790888</v>
      </c>
      <c r="AB227" s="82">
        <f>+'Project Orto'!AB133</f>
        <v>0</v>
      </c>
      <c r="AC227" s="83">
        <f t="shared" si="206"/>
        <v>161.46722157442215</v>
      </c>
      <c r="AD227" s="93">
        <f t="shared" si="207"/>
        <v>13.455601797868512</v>
      </c>
      <c r="AE227" s="93">
        <f t="shared" si="208"/>
        <v>15</v>
      </c>
      <c r="AF227" s="90">
        <f t="shared" si="209"/>
        <v>1.5443982021314877</v>
      </c>
      <c r="AG227" s="91">
        <f t="shared" si="210"/>
        <v>0.11477734146206187</v>
      </c>
      <c r="AH227" s="92">
        <f t="shared" si="211"/>
        <v>180</v>
      </c>
    </row>
    <row r="228" spans="1:35" x14ac:dyDescent="0.3">
      <c r="A228" s="223"/>
      <c r="B228" s="4" t="str">
        <f t="shared" ref="B228:J228" si="230">+B199</f>
        <v>ORTO</v>
      </c>
      <c r="C228" s="4" t="str">
        <f t="shared" si="230"/>
        <v>Bicchiere colonna twist alto</v>
      </c>
      <c r="D228" s="5">
        <f t="shared" si="230"/>
        <v>1</v>
      </c>
      <c r="E228" s="5">
        <f t="shared" si="230"/>
        <v>1</v>
      </c>
      <c r="F228" s="5">
        <f t="shared" si="230"/>
        <v>0.57999999999999996</v>
      </c>
      <c r="G228" s="5">
        <f t="shared" si="230"/>
        <v>58</v>
      </c>
      <c r="H228" s="4">
        <f t="shared" si="230"/>
        <v>9.4065272999999995E-5</v>
      </c>
      <c r="I228" s="6">
        <f t="shared" si="230"/>
        <v>0.26129242499999999</v>
      </c>
      <c r="J228" s="6">
        <f t="shared" si="230"/>
        <v>0.23516318249999998</v>
      </c>
      <c r="R228" s="5">
        <f>+'Project Orto'!R134</f>
        <v>12</v>
      </c>
      <c r="S228" s="6">
        <f>+'Project Orto'!S134</f>
        <v>696</v>
      </c>
      <c r="T228" s="6">
        <f>+'Project Orto'!T134</f>
        <v>3.1355091000000002</v>
      </c>
      <c r="U228" s="6">
        <f>+'Project Orto'!U134</f>
        <v>2.8219581899999997</v>
      </c>
      <c r="V228" s="81">
        <f>+'Project Orto'!V134</f>
        <v>5.8896343529379198</v>
      </c>
      <c r="W228" s="82">
        <f>+'Project Orto'!W134</f>
        <v>1.9158274151909998E-2</v>
      </c>
      <c r="X228" s="82">
        <f>+'Project Orto'!X134</f>
        <v>109.62000000000002</v>
      </c>
      <c r="Y228" s="82">
        <f>+'Project Orto'!Y134</f>
        <v>40.980694980694977</v>
      </c>
      <c r="Z228" s="82">
        <f>+'Project Orto'!Z134</f>
        <v>1.8483416982285714</v>
      </c>
      <c r="AA228" s="82">
        <f>+'Project Orto'!AA134</f>
        <v>0.36347226831473628</v>
      </c>
      <c r="AB228" s="82">
        <f>+'Project Orto'!AB134</f>
        <v>0</v>
      </c>
      <c r="AC228" s="83">
        <f t="shared" si="206"/>
        <v>158.72130157432812</v>
      </c>
      <c r="AD228" s="93">
        <f t="shared" si="207"/>
        <v>13.22677513119401</v>
      </c>
      <c r="AE228" s="93">
        <f t="shared" si="208"/>
        <v>15</v>
      </c>
      <c r="AF228" s="90">
        <f t="shared" si="209"/>
        <v>1.7732248688059897</v>
      </c>
      <c r="AG228" s="91">
        <f t="shared" si="210"/>
        <v>0.13406328082376015</v>
      </c>
      <c r="AH228" s="92">
        <f t="shared" si="211"/>
        <v>180</v>
      </c>
    </row>
    <row r="229" spans="1:35" x14ac:dyDescent="0.3">
      <c r="A229" s="223"/>
      <c r="B229" s="4" t="str">
        <f t="shared" ref="B229:J229" si="231">+B200</f>
        <v>LA GALLINA</v>
      </c>
      <c r="C229" s="4" t="str">
        <f t="shared" si="231"/>
        <v>Oliera1</v>
      </c>
      <c r="D229" s="5">
        <f t="shared" si="231"/>
        <v>2</v>
      </c>
      <c r="E229" s="5">
        <f t="shared" si="231"/>
        <v>1</v>
      </c>
      <c r="F229" s="5">
        <f t="shared" si="231"/>
        <v>0.54</v>
      </c>
      <c r="G229" s="5">
        <f t="shared" si="231"/>
        <v>54</v>
      </c>
      <c r="H229" s="4">
        <f t="shared" si="231"/>
        <v>1.830542E-4</v>
      </c>
      <c r="I229" s="6">
        <f t="shared" si="231"/>
        <v>0.50848388888888885</v>
      </c>
      <c r="J229" s="6">
        <f t="shared" si="231"/>
        <v>0.45763549999999997</v>
      </c>
      <c r="R229" s="5">
        <f>+'Project La Gallina'!R61</f>
        <v>10</v>
      </c>
      <c r="S229" s="6">
        <f>+'Project La Gallina'!S61</f>
        <v>540</v>
      </c>
      <c r="T229" s="6">
        <f>+'Project La Gallina'!T61</f>
        <v>5.0848388888888882</v>
      </c>
      <c r="U229" s="6">
        <f>+'Project La Gallina'!U61</f>
        <v>4.5763549999999995</v>
      </c>
      <c r="V229" s="81">
        <f>+'Project La Gallina'!V61</f>
        <v>4.5695438945208</v>
      </c>
      <c r="W229" s="82">
        <f>+'Project La Gallina'!W61</f>
        <v>3.1068874094999997E-2</v>
      </c>
      <c r="X229" s="82">
        <f>+'Project La Gallina'!X61</f>
        <v>85.050000000000011</v>
      </c>
      <c r="Y229" s="82">
        <f>+'Project La Gallina'!Y61</f>
        <v>31.795366795366796</v>
      </c>
      <c r="Z229" s="82">
        <f>+'Project La Gallina'!Z61</f>
        <v>1.2857142857142856</v>
      </c>
      <c r="AA229" s="82">
        <f>+'Project La Gallina'!AA61</f>
        <v>0.5894410974471187</v>
      </c>
      <c r="AB229" s="82">
        <f>+'Project La Gallina'!AB61</f>
        <v>0</v>
      </c>
      <c r="AC229" s="83">
        <f t="shared" si="206"/>
        <v>123.32113494714402</v>
      </c>
      <c r="AD229" s="93">
        <f t="shared" si="207"/>
        <v>12.332113494714402</v>
      </c>
      <c r="AE229" s="93">
        <f t="shared" si="208"/>
        <v>20</v>
      </c>
      <c r="AF229" s="90">
        <f t="shared" si="209"/>
        <v>7.6678865052855976</v>
      </c>
      <c r="AG229" s="91">
        <f t="shared" si="210"/>
        <v>0.62178202532534976</v>
      </c>
      <c r="AH229" s="92">
        <f t="shared" si="211"/>
        <v>200</v>
      </c>
    </row>
    <row r="230" spans="1:35" ht="15" thickBot="1" x14ac:dyDescent="0.35">
      <c r="A230" s="224"/>
      <c r="B230" s="4" t="str">
        <f t="shared" ref="B230:J230" si="232">+B201</f>
        <v>LA GALLINA</v>
      </c>
      <c r="C230" s="4" t="str">
        <f t="shared" si="232"/>
        <v>Piatto spirale</v>
      </c>
      <c r="D230" s="5">
        <f t="shared" si="232"/>
        <v>4</v>
      </c>
      <c r="E230" s="5">
        <f t="shared" si="232"/>
        <v>5</v>
      </c>
      <c r="F230" s="5">
        <f t="shared" si="232"/>
        <v>0.25</v>
      </c>
      <c r="G230" s="5">
        <f t="shared" si="232"/>
        <v>25</v>
      </c>
      <c r="H230" s="4">
        <f t="shared" si="232"/>
        <v>1.575448E-4</v>
      </c>
      <c r="I230" s="6">
        <f t="shared" si="232"/>
        <v>0.43762444444444443</v>
      </c>
      <c r="J230" s="6">
        <f t="shared" si="232"/>
        <v>0.39386199999999999</v>
      </c>
      <c r="R230" s="5">
        <f>+'Project La Gallina'!R62</f>
        <v>10</v>
      </c>
      <c r="S230" s="6">
        <f>+'Project La Gallina'!S62</f>
        <v>250</v>
      </c>
      <c r="T230" s="6">
        <f>+'Project La Gallina'!T62</f>
        <v>4.3762444444444446</v>
      </c>
      <c r="U230" s="6">
        <f>+'Project La Gallina'!U62</f>
        <v>3.9386199999999998</v>
      </c>
      <c r="V230" s="84">
        <f>+'Project La Gallina'!V62</f>
        <v>2.1155295807966668</v>
      </c>
      <c r="W230" s="85">
        <f>+'Project La Gallina'!W62</f>
        <v>2.6739291179999999E-2</v>
      </c>
      <c r="X230" s="85">
        <f>+'Project La Gallina'!X62</f>
        <v>39.375000000000007</v>
      </c>
      <c r="Y230" s="85">
        <f>+'Project La Gallina'!Y62</f>
        <v>14.72007722007722</v>
      </c>
      <c r="Z230" s="85">
        <f>+'Project La Gallina'!Z62</f>
        <v>0.59523809523809523</v>
      </c>
      <c r="AA230" s="85">
        <f>+'Project La Gallina'!AA62</f>
        <v>0.50729991340863434</v>
      </c>
      <c r="AB230" s="85">
        <f>+'Project La Gallina'!AB62</f>
        <v>0</v>
      </c>
      <c r="AC230" s="83">
        <f t="shared" si="206"/>
        <v>57.33988410070063</v>
      </c>
      <c r="AD230" s="93">
        <f t="shared" si="207"/>
        <v>5.7339884100700633</v>
      </c>
      <c r="AE230" s="93">
        <f t="shared" si="208"/>
        <v>15</v>
      </c>
      <c r="AF230" s="90">
        <f t="shared" si="209"/>
        <v>9.2660115899299367</v>
      </c>
      <c r="AG230" s="91">
        <f t="shared" si="210"/>
        <v>1.6159801742286248</v>
      </c>
      <c r="AH230" s="92">
        <f t="shared" si="211"/>
        <v>150</v>
      </c>
    </row>
    <row r="233" spans="1:35" ht="18.600000000000001" thickBot="1" x14ac:dyDescent="0.4">
      <c r="D233" s="237" t="s">
        <v>40</v>
      </c>
      <c r="E233" s="237"/>
      <c r="F233" s="237"/>
      <c r="G233" s="237"/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10" t="s">
        <v>32</v>
      </c>
      <c r="S233" s="87">
        <f>+S235/60/7</f>
        <v>20.461904761904758</v>
      </c>
      <c r="T233" s="88" t="s">
        <v>83</v>
      </c>
    </row>
    <row r="234" spans="1:35" x14ac:dyDescent="0.3">
      <c r="D234" s="236" t="s">
        <v>33</v>
      </c>
      <c r="E234" s="236"/>
      <c r="F234" s="236"/>
      <c r="G234" s="236"/>
      <c r="H234" s="236"/>
      <c r="I234" s="236"/>
      <c r="J234" s="236"/>
      <c r="M234" s="236" t="s">
        <v>36</v>
      </c>
      <c r="N234" s="236"/>
      <c r="O234" s="236"/>
      <c r="P234" s="236"/>
      <c r="Q234" s="236"/>
      <c r="V234" s="238" t="s">
        <v>135</v>
      </c>
      <c r="W234" s="239"/>
      <c r="X234" s="239"/>
      <c r="Y234" s="239"/>
      <c r="Z234" s="239"/>
      <c r="AA234" s="239"/>
      <c r="AB234" s="239"/>
      <c r="AC234" s="240"/>
    </row>
    <row r="235" spans="1:35" ht="18" x14ac:dyDescent="0.35">
      <c r="B235" s="178" t="s">
        <v>467</v>
      </c>
      <c r="F235" s="225" t="s">
        <v>44</v>
      </c>
      <c r="G235" s="225"/>
      <c r="I235" s="20">
        <f>SUBTOTAL(9,I237:I259)</f>
        <v>59.570075669444442</v>
      </c>
      <c r="J235" s="20">
        <f>SUBTOTAL(9,J237:J259)</f>
        <v>53.613068102499987</v>
      </c>
      <c r="K235" s="1">
        <f>+'Finished goods'!$I$3</f>
        <v>2500</v>
      </c>
      <c r="L235" s="1">
        <f>+'Finished goods'!$J$3</f>
        <v>0.9</v>
      </c>
      <c r="M235" s="15">
        <f>+'Finished goods'!$K$3</f>
        <v>0.50772709939119998</v>
      </c>
      <c r="N235" s="15">
        <f>+'Finished goods'!$L$3</f>
        <v>6.7889999999999999E-3</v>
      </c>
      <c r="O235" s="13">
        <f>+'Finished goods'!$M$3</f>
        <v>0.15750000000000003</v>
      </c>
      <c r="P235" s="46">
        <f>+'Finished goods'!$N$3</f>
        <v>5.8880308880308881E-2</v>
      </c>
      <c r="Q235" s="1"/>
      <c r="S235" s="17">
        <f>SUBTOTAL(9,S237:S259)</f>
        <v>8594</v>
      </c>
      <c r="T235" s="17">
        <f>SUBTOTAL(9,T237:T259)</f>
        <v>162.95047083611109</v>
      </c>
      <c r="U235" s="75">
        <f>SUBTOTAL(9,U237:U259)</f>
        <v>146.65542375250001</v>
      </c>
      <c r="V235" s="77">
        <f t="shared" ref="V235:AC235" si="233">SUBTOTAL(9,V237:V259)</f>
        <v>72.723444869466206</v>
      </c>
      <c r="W235" s="17">
        <f t="shared" si="233"/>
        <v>0.99564367185572245</v>
      </c>
      <c r="X235" s="17">
        <f t="shared" si="233"/>
        <v>1353.5550000000003</v>
      </c>
      <c r="Y235" s="17">
        <f t="shared" si="233"/>
        <v>506.01737451737455</v>
      </c>
      <c r="Z235" s="17">
        <f t="shared" si="233"/>
        <v>22.605749238676189</v>
      </c>
      <c r="AA235" s="17">
        <f t="shared" si="233"/>
        <v>18.889429234236815</v>
      </c>
      <c r="AB235" s="17">
        <f t="shared" si="233"/>
        <v>468</v>
      </c>
      <c r="AC235" s="78">
        <f t="shared" si="233"/>
        <v>2442.7866415316093</v>
      </c>
      <c r="AF235" s="225" t="s">
        <v>118</v>
      </c>
      <c r="AG235" s="225"/>
      <c r="AH235" s="108">
        <f t="shared" ref="AH235" si="234">SUBTOTAL(9,AH237:AH259)</f>
        <v>8320</v>
      </c>
      <c r="AI235" s="95"/>
    </row>
    <row r="236" spans="1:35" x14ac:dyDescent="0.3">
      <c r="A236" s="1" t="s">
        <v>145</v>
      </c>
      <c r="B236" s="1" t="s">
        <v>30</v>
      </c>
      <c r="C236" s="1" t="s">
        <v>0</v>
      </c>
      <c r="D236" s="1" t="s">
        <v>4</v>
      </c>
      <c r="E236" s="1" t="s">
        <v>5</v>
      </c>
      <c r="F236" s="1" t="s">
        <v>45</v>
      </c>
      <c r="G236" s="1" t="s">
        <v>57</v>
      </c>
      <c r="H236" s="1" t="s">
        <v>6</v>
      </c>
      <c r="I236" s="1" t="s">
        <v>2</v>
      </c>
      <c r="J236" s="1" t="s">
        <v>7</v>
      </c>
      <c r="K236" s="1" t="s">
        <v>31</v>
      </c>
      <c r="L236" s="1" t="s">
        <v>8</v>
      </c>
      <c r="M236" s="1" t="s">
        <v>34</v>
      </c>
      <c r="N236" s="1" t="s">
        <v>35</v>
      </c>
      <c r="O236" s="1" t="s">
        <v>37</v>
      </c>
      <c r="P236" s="1" t="s">
        <v>93</v>
      </c>
      <c r="Q236" s="1" t="s">
        <v>94</v>
      </c>
      <c r="R236" s="11" t="s">
        <v>39</v>
      </c>
      <c r="S236" s="2" t="s">
        <v>43</v>
      </c>
      <c r="T236" s="2" t="s">
        <v>2</v>
      </c>
      <c r="U236" s="76" t="s">
        <v>7</v>
      </c>
      <c r="V236" s="2" t="str">
        <f>+V4</f>
        <v>energia €/h</v>
      </c>
      <c r="W236" s="2" t="str">
        <f t="shared" ref="W236:AB236" si="235">+W4</f>
        <v>materiale €/Kg</v>
      </c>
      <c r="X236" s="2" t="str">
        <f t="shared" si="235"/>
        <v>mod</v>
      </c>
      <c r="Y236" s="2" t="str">
        <f t="shared" si="235"/>
        <v>ammort</v>
      </c>
      <c r="Z236" s="2" t="str">
        <f t="shared" si="235"/>
        <v>Accensione</v>
      </c>
      <c r="AA236" s="2" t="str">
        <f t="shared" si="235"/>
        <v>trasporto</v>
      </c>
      <c r="AB236" s="2" t="str">
        <f t="shared" si="235"/>
        <v>forniture</v>
      </c>
      <c r="AC236" s="80" t="s">
        <v>42</v>
      </c>
      <c r="AD236" s="53" t="s">
        <v>116</v>
      </c>
      <c r="AE236" s="1" t="s">
        <v>117</v>
      </c>
      <c r="AF236" s="1" t="s">
        <v>119</v>
      </c>
      <c r="AG236" s="1" t="s">
        <v>120</v>
      </c>
      <c r="AH236" s="1" t="s">
        <v>121</v>
      </c>
    </row>
    <row r="237" spans="1:35" ht="14.4" customHeight="1" x14ac:dyDescent="0.3">
      <c r="A237" s="222" t="s">
        <v>419</v>
      </c>
      <c r="B237" s="4" t="str">
        <f>+B208</f>
        <v>OSTELLIERE</v>
      </c>
      <c r="C237" s="4" t="str">
        <f>+C208</f>
        <v>Tavolo twist Logo</v>
      </c>
      <c r="D237" s="5">
        <f>+D208</f>
        <v>8</v>
      </c>
      <c r="E237" s="5">
        <f>+E208</f>
        <v>10</v>
      </c>
      <c r="F237" s="5">
        <f>+F208</f>
        <v>1.22</v>
      </c>
      <c r="G237" s="5">
        <f t="shared" ref="G237:J237" si="236">+G208</f>
        <v>82</v>
      </c>
      <c r="H237" s="4">
        <f t="shared" si="236"/>
        <v>7.9769999999999997E-3</v>
      </c>
      <c r="I237" s="6">
        <f t="shared" si="236"/>
        <v>22.158333333333331</v>
      </c>
      <c r="J237" s="6">
        <f t="shared" si="236"/>
        <v>19.942499999999999</v>
      </c>
      <c r="R237" s="5">
        <f>+'Project Ostelliere'!R133</f>
        <v>2</v>
      </c>
      <c r="S237" s="6">
        <f>+'Project Ostelliere'!S133</f>
        <v>164</v>
      </c>
      <c r="T237" s="6">
        <f>+'Project Ostelliere'!T133</f>
        <v>44.316666666666663</v>
      </c>
      <c r="U237" s="6">
        <f>+'Project Ostelliere'!U133</f>
        <v>39.884999999999998</v>
      </c>
      <c r="V237" s="81">
        <f>+'Project Ostelliere'!V133</f>
        <v>1.3877874050026131</v>
      </c>
      <c r="W237" s="82">
        <f>+'Project Ostelliere'!W133</f>
        <v>0.27077926499999999</v>
      </c>
      <c r="X237" s="82">
        <f>+'Project Ostelliere'!X133</f>
        <v>25.830000000000005</v>
      </c>
      <c r="Y237" s="82">
        <f>+'Project Ostelliere'!Y133</f>
        <v>9.6563706563706564</v>
      </c>
      <c r="Z237" s="82">
        <f>+'Project Ostelliere'!Z133</f>
        <v>0.43552879096190478</v>
      </c>
      <c r="AA237" s="82">
        <f>+'Project Ostelliere'!AA133</f>
        <v>5.1372452905594805</v>
      </c>
      <c r="AB237" s="82">
        <f>+'Project Ostelliere'!AB133</f>
        <v>300</v>
      </c>
      <c r="AC237" s="83">
        <f>SUM(V237:AB237)</f>
        <v>342.71771140789463</v>
      </c>
      <c r="AD237" s="93">
        <f>+AC237/R237</f>
        <v>171.35885570394731</v>
      </c>
      <c r="AE237" s="93">
        <f>+AE208</f>
        <v>800</v>
      </c>
      <c r="AF237" s="90">
        <f>+AE237-AD237</f>
        <v>628.64114429605274</v>
      </c>
      <c r="AG237" s="91">
        <f>+AF237/AD237</f>
        <v>3.6685652557235873</v>
      </c>
      <c r="AH237" s="92">
        <f>+AE237*R237</f>
        <v>1600</v>
      </c>
    </row>
    <row r="238" spans="1:35" x14ac:dyDescent="0.3">
      <c r="A238" s="223"/>
      <c r="B238" s="4" t="str">
        <f t="shared" ref="B238:J238" si="237">+B209</f>
        <v>OSTELLIERE</v>
      </c>
      <c r="C238" s="4" t="str">
        <f t="shared" si="237"/>
        <v xml:space="preserve">Vaso bitorzolo curvo </v>
      </c>
      <c r="D238" s="5">
        <f t="shared" si="237"/>
        <v>4</v>
      </c>
      <c r="E238" s="5">
        <f t="shared" si="237"/>
        <v>2</v>
      </c>
      <c r="F238" s="5">
        <f t="shared" si="237"/>
        <v>5.21</v>
      </c>
      <c r="G238" s="5">
        <f t="shared" si="237"/>
        <v>321</v>
      </c>
      <c r="H238" s="4">
        <f t="shared" si="237"/>
        <v>6.0029599999999995E-4</v>
      </c>
      <c r="I238" s="6">
        <f t="shared" si="237"/>
        <v>1.6674888888888888</v>
      </c>
      <c r="J238" s="6">
        <f t="shared" si="237"/>
        <v>1.50074</v>
      </c>
      <c r="R238" s="5">
        <f>+'Project Ostelliere'!R134</f>
        <v>2</v>
      </c>
      <c r="S238" s="6">
        <f>+'Project Ostelliere'!S134</f>
        <v>642</v>
      </c>
      <c r="T238" s="6">
        <f>+'Project Ostelliere'!T134</f>
        <v>3.3349777777777776</v>
      </c>
      <c r="U238" s="6">
        <f>+'Project Ostelliere'!U134</f>
        <v>3.0014799999999999</v>
      </c>
      <c r="V238" s="81">
        <f>+'Project Ostelliere'!V134</f>
        <v>5.4326799634858398</v>
      </c>
      <c r="W238" s="82">
        <f>+'Project Ostelliere'!W134</f>
        <v>2.0377047719999999E-2</v>
      </c>
      <c r="X238" s="82">
        <f>+'Project Ostelliere'!X134</f>
        <v>101.11500000000002</v>
      </c>
      <c r="Y238" s="82">
        <f>+'Project Ostelliere'!Y134</f>
        <v>37.801158301158303</v>
      </c>
      <c r="Z238" s="82">
        <f>+'Project Ostelliere'!Z134</f>
        <v>1.7049358768142857</v>
      </c>
      <c r="AA238" s="82">
        <f>+'Project Ostelliere'!AA134</f>
        <v>0.38659493530671857</v>
      </c>
      <c r="AB238" s="82">
        <f>+'Project Ostelliere'!AB134</f>
        <v>0</v>
      </c>
      <c r="AC238" s="83">
        <f t="shared" ref="AC238:AC259" si="238">SUM(V238:AB238)</f>
        <v>146.46074612448518</v>
      </c>
      <c r="AD238" s="93">
        <f t="shared" ref="AD238:AD259" si="239">+AC238/R238</f>
        <v>73.230373062242592</v>
      </c>
      <c r="AE238" s="93">
        <f t="shared" ref="AE238:AE259" si="240">+AE209</f>
        <v>250</v>
      </c>
      <c r="AF238" s="90">
        <f t="shared" ref="AF238:AF259" si="241">+AE238-AD238</f>
        <v>176.76962693775741</v>
      </c>
      <c r="AG238" s="91">
        <f t="shared" ref="AG238:AG259" si="242">+AF238/AD238</f>
        <v>2.4138840148678611</v>
      </c>
      <c r="AH238" s="92">
        <f t="shared" ref="AH238:AH259" si="243">+AE238*R238</f>
        <v>500</v>
      </c>
    </row>
    <row r="239" spans="1:35" x14ac:dyDescent="0.3">
      <c r="A239" s="223"/>
      <c r="B239" s="4" t="str">
        <f t="shared" ref="B239:J239" si="244">+B210</f>
        <v>OSTELLIERE</v>
      </c>
      <c r="C239" s="4" t="str">
        <f t="shared" si="244"/>
        <v>Vaso bitorzolo twist</v>
      </c>
      <c r="D239" s="5">
        <f t="shared" si="244"/>
        <v>4</v>
      </c>
      <c r="E239" s="5">
        <f t="shared" si="244"/>
        <v>2</v>
      </c>
      <c r="F239" s="5">
        <f t="shared" si="244"/>
        <v>5.15</v>
      </c>
      <c r="G239" s="5">
        <f t="shared" si="244"/>
        <v>315</v>
      </c>
      <c r="H239" s="4">
        <f t="shared" si="244"/>
        <v>8.005105E-4</v>
      </c>
      <c r="I239" s="6">
        <f t="shared" si="244"/>
        <v>2.2236402777777777</v>
      </c>
      <c r="J239" s="6">
        <f t="shared" si="244"/>
        <v>2.0012762500000001</v>
      </c>
      <c r="R239" s="5">
        <f>+'Project Ostelliere'!R135</f>
        <v>2</v>
      </c>
      <c r="S239" s="6">
        <f>+'Project Ostelliere'!S135</f>
        <v>630</v>
      </c>
      <c r="T239" s="6">
        <f>+'Project Ostelliere'!T135</f>
        <v>4.4472805555555555</v>
      </c>
      <c r="U239" s="6">
        <f>+'Project Ostelliere'!U135</f>
        <v>4.0025525000000002</v>
      </c>
      <c r="V239" s="81">
        <f>+'Project Ostelliere'!V135</f>
        <v>5.3311345436076003</v>
      </c>
      <c r="W239" s="82">
        <f>+'Project Ostelliere'!W135</f>
        <v>2.71733289225E-2</v>
      </c>
      <c r="X239" s="82">
        <f>+'Project Ostelliere'!X135</f>
        <v>99.225000000000023</v>
      </c>
      <c r="Y239" s="82">
        <f>+'Project Ostelliere'!Y135</f>
        <v>37.094594594594597</v>
      </c>
      <c r="Z239" s="82">
        <f>+'Project Ostelliere'!Z135</f>
        <v>1.6730679165000002</v>
      </c>
      <c r="AA239" s="82">
        <f>+'Project Ostelliere'!AA135</f>
        <v>0.51553451124086935</v>
      </c>
      <c r="AB239" s="82">
        <f>+'Project Ostelliere'!AB135</f>
        <v>0</v>
      </c>
      <c r="AC239" s="83">
        <f t="shared" si="238"/>
        <v>143.86650489486561</v>
      </c>
      <c r="AD239" s="93">
        <f t="shared" si="239"/>
        <v>71.933252447432807</v>
      </c>
      <c r="AE239" s="93">
        <f t="shared" si="240"/>
        <v>250</v>
      </c>
      <c r="AF239" s="90">
        <f t="shared" si="241"/>
        <v>178.06674755256719</v>
      </c>
      <c r="AG239" s="91">
        <f t="shared" si="242"/>
        <v>2.475444130413738</v>
      </c>
      <c r="AH239" s="92">
        <f t="shared" si="243"/>
        <v>500</v>
      </c>
    </row>
    <row r="240" spans="1:35" x14ac:dyDescent="0.3">
      <c r="A240" s="223"/>
      <c r="B240" s="4" t="str">
        <f t="shared" ref="B240:J240" si="245">+B211</f>
        <v>OSTELLIERE</v>
      </c>
      <c r="C240" s="4" t="str">
        <f t="shared" si="245"/>
        <v>Vaso bitorzolo dritto</v>
      </c>
      <c r="D240" s="5">
        <f t="shared" si="245"/>
        <v>4</v>
      </c>
      <c r="E240" s="5">
        <f t="shared" si="245"/>
        <v>2</v>
      </c>
      <c r="F240" s="5">
        <f t="shared" si="245"/>
        <v>4.4800000000000004</v>
      </c>
      <c r="G240" s="5">
        <f t="shared" si="245"/>
        <v>288</v>
      </c>
      <c r="H240" s="4">
        <f t="shared" si="245"/>
        <v>8.2321687099999998E-4</v>
      </c>
      <c r="I240" s="6">
        <f t="shared" si="245"/>
        <v>2.2867135305555553</v>
      </c>
      <c r="J240" s="6">
        <f t="shared" si="245"/>
        <v>2.0580421775</v>
      </c>
      <c r="R240" s="5">
        <f>+'Project Ostelliere'!R136</f>
        <v>2</v>
      </c>
      <c r="S240" s="6">
        <f>+'Project Ostelliere'!S136</f>
        <v>576</v>
      </c>
      <c r="T240" s="6">
        <f>+'Project Ostelliere'!T136</f>
        <v>4.5734270611111105</v>
      </c>
      <c r="U240" s="6">
        <f>+'Project Ostelliere'!U136</f>
        <v>4.1160843549999999</v>
      </c>
      <c r="V240" s="81">
        <f>+'Project Ostelliere'!V136</f>
        <v>4.8741801541555203</v>
      </c>
      <c r="W240" s="82">
        <f>+'Project Ostelliere'!W136</f>
        <v>2.7944096686094998E-2</v>
      </c>
      <c r="X240" s="82">
        <f>+'Project Ostelliere'!X136</f>
        <v>90.720000000000013</v>
      </c>
      <c r="Y240" s="82">
        <f>+'Project Ostelliere'!Y136</f>
        <v>33.915057915057915</v>
      </c>
      <c r="Z240" s="82">
        <f>+'Project Ostelliere'!Z136</f>
        <v>1.5296620950857143</v>
      </c>
      <c r="AA240" s="82">
        <f>+'Project Ostelliere'!AA136</f>
        <v>0.53015757724130141</v>
      </c>
      <c r="AB240" s="82">
        <f>+'Project Ostelliere'!AB136</f>
        <v>0</v>
      </c>
      <c r="AC240" s="83">
        <f t="shared" si="238"/>
        <v>131.59700183822656</v>
      </c>
      <c r="AD240" s="93">
        <f t="shared" si="239"/>
        <v>65.79850091911328</v>
      </c>
      <c r="AE240" s="93">
        <f t="shared" si="240"/>
        <v>250</v>
      </c>
      <c r="AF240" s="90">
        <f t="shared" si="241"/>
        <v>184.20149908088672</v>
      </c>
      <c r="AG240" s="91">
        <f t="shared" si="242"/>
        <v>2.7994786584473612</v>
      </c>
      <c r="AH240" s="92">
        <f t="shared" si="243"/>
        <v>500</v>
      </c>
    </row>
    <row r="241" spans="1:34" x14ac:dyDescent="0.3">
      <c r="A241" s="223"/>
      <c r="B241" s="4" t="str">
        <f t="shared" ref="B241:J241" si="246">+B212</f>
        <v>OSTELLIERE</v>
      </c>
      <c r="C241" s="4" t="str">
        <f t="shared" si="246"/>
        <v>Porta riviste</v>
      </c>
      <c r="D241" s="5">
        <f t="shared" si="246"/>
        <v>10</v>
      </c>
      <c r="E241" s="5">
        <f t="shared" si="246"/>
        <v>10</v>
      </c>
      <c r="F241" s="5">
        <f t="shared" si="246"/>
        <v>0.42</v>
      </c>
      <c r="G241" s="5">
        <f t="shared" si="246"/>
        <v>42</v>
      </c>
      <c r="H241" s="4">
        <f t="shared" si="246"/>
        <v>3.5606798E-3</v>
      </c>
      <c r="I241" s="6">
        <f t="shared" si="246"/>
        <v>9.890777222222221</v>
      </c>
      <c r="J241" s="6">
        <f t="shared" si="246"/>
        <v>8.9016994999999994</v>
      </c>
      <c r="R241" s="5">
        <f>+'Project Ostelliere'!R137</f>
        <v>2</v>
      </c>
      <c r="S241" s="6">
        <f>+'Project Ostelliere'!S137</f>
        <v>84</v>
      </c>
      <c r="T241" s="6">
        <f>+'Project Ostelliere'!T137</f>
        <v>19.781554444444442</v>
      </c>
      <c r="U241" s="6">
        <f>+'Project Ostelliere'!U137</f>
        <v>17.803398999999999</v>
      </c>
      <c r="V241" s="81">
        <f>+'Project Ostelliere'!V137</f>
        <v>0.71081793914767988</v>
      </c>
      <c r="W241" s="82">
        <f>+'Project Ostelliere'!W137</f>
        <v>0.12086727581099999</v>
      </c>
      <c r="X241" s="82">
        <f>+'Project Ostelliere'!X137</f>
        <v>13.230000000000002</v>
      </c>
      <c r="Y241" s="82">
        <f>+'Project Ostelliere'!Y137</f>
        <v>4.9459459459459456</v>
      </c>
      <c r="Z241" s="82">
        <f>+'Project Ostelliere'!Z137</f>
        <v>0.22307572219999999</v>
      </c>
      <c r="AA241" s="82">
        <f>+'Project Ostelliere'!AA137</f>
        <v>2.2931033638887142</v>
      </c>
      <c r="AB241" s="82">
        <f>+'Project Ostelliere'!AB137</f>
        <v>0</v>
      </c>
      <c r="AC241" s="83">
        <f t="shared" si="238"/>
        <v>21.523810246993346</v>
      </c>
      <c r="AD241" s="93">
        <f t="shared" si="239"/>
        <v>10.761905123496673</v>
      </c>
      <c r="AE241" s="93">
        <f t="shared" si="240"/>
        <v>130</v>
      </c>
      <c r="AF241" s="90">
        <f t="shared" si="241"/>
        <v>119.23809487650333</v>
      </c>
      <c r="AG241" s="91">
        <f t="shared" si="242"/>
        <v>11.079645611832103</v>
      </c>
      <c r="AH241" s="92">
        <f t="shared" si="243"/>
        <v>260</v>
      </c>
    </row>
    <row r="242" spans="1:34" x14ac:dyDescent="0.3">
      <c r="A242" s="223"/>
      <c r="B242" s="4" t="str">
        <f t="shared" ref="B242:J242" si="247">+B213</f>
        <v>OSTELLIERE</v>
      </c>
      <c r="C242" s="4" t="str">
        <f t="shared" si="247"/>
        <v>Lampada 90 grossa</v>
      </c>
      <c r="D242" s="5">
        <f t="shared" si="247"/>
        <v>8</v>
      </c>
      <c r="E242" s="5">
        <f t="shared" si="247"/>
        <v>10</v>
      </c>
      <c r="F242" s="5">
        <f t="shared" si="247"/>
        <v>1.39</v>
      </c>
      <c r="G242" s="5">
        <f t="shared" si="247"/>
        <v>99</v>
      </c>
      <c r="H242" s="4">
        <f t="shared" si="247"/>
        <v>1.7366300000000001E-3</v>
      </c>
      <c r="I242" s="6">
        <f t="shared" si="247"/>
        <v>4.8239722222222232</v>
      </c>
      <c r="J242" s="6">
        <f t="shared" si="247"/>
        <v>4.3415750000000006</v>
      </c>
      <c r="R242" s="5">
        <f>+'Project Ostelliere'!R138</f>
        <v>1</v>
      </c>
      <c r="S242" s="6">
        <f>+'Project Ostelliere'!S138</f>
        <v>99</v>
      </c>
      <c r="T242" s="6">
        <f>+'Project Ostelliere'!T138</f>
        <v>4.8239722222222232</v>
      </c>
      <c r="U242" s="6">
        <f>+'Project Ostelliere'!U138</f>
        <v>4.3415750000000006</v>
      </c>
      <c r="V242" s="81">
        <f>+'Project Ostelliere'!V138</f>
        <v>0.83774971399547993</v>
      </c>
      <c r="W242" s="82">
        <f>+'Project Ostelliere'!W138</f>
        <v>2.9474952675000003E-2</v>
      </c>
      <c r="X242" s="82">
        <f>+'Project Ostelliere'!X138</f>
        <v>15.592500000000003</v>
      </c>
      <c r="Y242" s="82">
        <f>+'Project Ostelliere'!Y138</f>
        <v>5.8291505791505793</v>
      </c>
      <c r="Z242" s="82">
        <f>+'Project Ostelliere'!Z138</f>
        <v>0.26291067259285716</v>
      </c>
      <c r="AA242" s="82">
        <f>+'Project Ostelliere'!AA138</f>
        <v>0.55920109621062508</v>
      </c>
      <c r="AB242" s="82">
        <f>+'Project Ostelliere'!AB138</f>
        <v>24</v>
      </c>
      <c r="AC242" s="83">
        <f t="shared" si="238"/>
        <v>47.110987014624541</v>
      </c>
      <c r="AD242" s="93">
        <f t="shared" si="239"/>
        <v>47.110987014624541</v>
      </c>
      <c r="AE242" s="93">
        <f t="shared" si="240"/>
        <v>400</v>
      </c>
      <c r="AF242" s="90">
        <f t="shared" si="241"/>
        <v>352.88901298537547</v>
      </c>
      <c r="AG242" s="91">
        <f t="shared" si="242"/>
        <v>7.4905884029945931</v>
      </c>
      <c r="AH242" s="92">
        <f t="shared" si="243"/>
        <v>400</v>
      </c>
    </row>
    <row r="243" spans="1:34" x14ac:dyDescent="0.3">
      <c r="A243" s="223"/>
      <c r="B243" s="4" t="str">
        <f t="shared" ref="B243:J243" si="248">+B214</f>
        <v>OSTELLIERE</v>
      </c>
      <c r="C243" s="4" t="str">
        <f t="shared" si="248"/>
        <v>Lampada 90 piccola</v>
      </c>
      <c r="D243" s="5">
        <f t="shared" si="248"/>
        <v>5</v>
      </c>
      <c r="E243" s="5">
        <f t="shared" si="248"/>
        <v>10</v>
      </c>
      <c r="F243" s="5">
        <f t="shared" si="248"/>
        <v>1.1499999999999999</v>
      </c>
      <c r="G243" s="5">
        <f t="shared" si="248"/>
        <v>75</v>
      </c>
      <c r="H243" s="4">
        <f t="shared" si="248"/>
        <v>8.1557296000000004E-4</v>
      </c>
      <c r="I243" s="6">
        <f t="shared" si="248"/>
        <v>2.2654804444444445</v>
      </c>
      <c r="J243" s="6">
        <f t="shared" si="248"/>
        <v>2.0389324000000002</v>
      </c>
      <c r="R243" s="5">
        <f>+'Project Ostelliere'!R139</f>
        <v>6</v>
      </c>
      <c r="S243" s="6">
        <f>+'Project Ostelliere'!S139</f>
        <v>450</v>
      </c>
      <c r="T243" s="6">
        <f>+'Project Ostelliere'!T139</f>
        <v>13.592882666666668</v>
      </c>
      <c r="U243" s="6">
        <f>+'Project Ostelliere'!U139</f>
        <v>12.233594400000001</v>
      </c>
      <c r="V243" s="81">
        <f>+'Project Ostelliere'!V139</f>
        <v>3.8079532454339997</v>
      </c>
      <c r="W243" s="82">
        <f>+'Project Ostelliere'!W139</f>
        <v>8.3053872381600002E-2</v>
      </c>
      <c r="X243" s="82">
        <f>+'Project Ostelliere'!X139</f>
        <v>70.875000000000014</v>
      </c>
      <c r="Y243" s="82">
        <f>+'Project Ostelliere'!Y139</f>
        <v>26.496138996138995</v>
      </c>
      <c r="Z243" s="82">
        <f>+'Project Ostelliere'!Z139</f>
        <v>1.1950485117857144</v>
      </c>
      <c r="AA243" s="82">
        <f>+'Project Ostelliere'!AA139</f>
        <v>1.5757045309769298</v>
      </c>
      <c r="AB243" s="82">
        <f>+'Project Ostelliere'!AB139</f>
        <v>144</v>
      </c>
      <c r="AC243" s="83">
        <f t="shared" si="238"/>
        <v>248.03289915671726</v>
      </c>
      <c r="AD243" s="93">
        <f t="shared" si="239"/>
        <v>41.338816526119544</v>
      </c>
      <c r="AE243" s="93">
        <f t="shared" si="240"/>
        <v>200</v>
      </c>
      <c r="AF243" s="90">
        <f t="shared" si="241"/>
        <v>158.66118347388044</v>
      </c>
      <c r="AG243" s="91">
        <f t="shared" si="242"/>
        <v>3.8380678695441572</v>
      </c>
      <c r="AH243" s="92">
        <f t="shared" si="243"/>
        <v>1200</v>
      </c>
    </row>
    <row r="244" spans="1:34" x14ac:dyDescent="0.3">
      <c r="A244" s="223"/>
      <c r="B244" s="4" t="str">
        <f t="shared" ref="B244:J244" si="249">+B215</f>
        <v>OSTELLIERE</v>
      </c>
      <c r="C244" s="4" t="str">
        <f t="shared" si="249"/>
        <v>Vaso Logo</v>
      </c>
      <c r="D244" s="5">
        <f t="shared" si="249"/>
        <v>5</v>
      </c>
      <c r="E244" s="5">
        <f t="shared" si="249"/>
        <v>10</v>
      </c>
      <c r="F244" s="5">
        <f t="shared" si="249"/>
        <v>0.39</v>
      </c>
      <c r="G244" s="5">
        <f t="shared" si="249"/>
        <v>39</v>
      </c>
      <c r="H244" s="4">
        <f t="shared" si="249"/>
        <v>1.1639584900000001E-3</v>
      </c>
      <c r="I244" s="6">
        <f t="shared" si="249"/>
        <v>3.2332180277777778</v>
      </c>
      <c r="J244" s="6">
        <f t="shared" si="249"/>
        <v>2.9098962250000002</v>
      </c>
      <c r="R244" s="5">
        <f>+'Project Ostelliere'!R140</f>
        <v>3</v>
      </c>
      <c r="S244" s="6">
        <f>+'Project Ostelliere'!S140</f>
        <v>117</v>
      </c>
      <c r="T244" s="6">
        <f>+'Project Ostelliere'!T140</f>
        <v>9.6996540833333338</v>
      </c>
      <c r="U244" s="6">
        <f>+'Project Ostelliere'!U140</f>
        <v>8.7296886750000002</v>
      </c>
      <c r="V244" s="81">
        <f>+'Project Ostelliere'!V140</f>
        <v>0.99006784381283996</v>
      </c>
      <c r="W244" s="82">
        <f>+'Project Ostelliere'!W140</f>
        <v>5.9265856414574998E-2</v>
      </c>
      <c r="X244" s="82">
        <f>+'Project Ostelliere'!X140</f>
        <v>18.427500000000002</v>
      </c>
      <c r="Y244" s="82">
        <f>+'Project Ostelliere'!Y140</f>
        <v>6.8889961389961387</v>
      </c>
      <c r="Z244" s="82">
        <f>+'Project Ostelliere'!Z140</f>
        <v>0.31071261306428571</v>
      </c>
      <c r="AA244" s="82">
        <f>+'Project Ostelliere'!AA140</f>
        <v>1.1243964406091058</v>
      </c>
      <c r="AB244" s="82">
        <f>+'Project Ostelliere'!AB140</f>
        <v>0</v>
      </c>
      <c r="AC244" s="83">
        <f t="shared" si="238"/>
        <v>27.800938892896948</v>
      </c>
      <c r="AD244" s="93">
        <f t="shared" si="239"/>
        <v>9.2669796309656487</v>
      </c>
      <c r="AE244" s="93">
        <f t="shared" si="240"/>
        <v>310</v>
      </c>
      <c r="AF244" s="90">
        <f t="shared" si="241"/>
        <v>300.73302036903436</v>
      </c>
      <c r="AG244" s="91">
        <f t="shared" si="242"/>
        <v>32.452107627833108</v>
      </c>
      <c r="AH244" s="92">
        <f t="shared" si="243"/>
        <v>930</v>
      </c>
    </row>
    <row r="245" spans="1:34" x14ac:dyDescent="0.3">
      <c r="A245" s="223"/>
      <c r="B245" s="4" t="str">
        <f t="shared" ref="B245:J245" si="250">+B216</f>
        <v>OSTELLIERE</v>
      </c>
      <c r="C245" s="4" t="str">
        <f t="shared" si="250"/>
        <v>Copri candela</v>
      </c>
      <c r="D245" s="5">
        <f t="shared" si="250"/>
        <v>4</v>
      </c>
      <c r="E245" s="5">
        <f t="shared" si="250"/>
        <v>5</v>
      </c>
      <c r="F245" s="5">
        <f t="shared" si="250"/>
        <v>0.34</v>
      </c>
      <c r="G245" s="5">
        <f t="shared" si="250"/>
        <v>34</v>
      </c>
      <c r="H245" s="4">
        <f t="shared" si="250"/>
        <v>2.3780405299999999E-4</v>
      </c>
      <c r="I245" s="6">
        <f t="shared" si="250"/>
        <v>0.66056681388888883</v>
      </c>
      <c r="J245" s="6">
        <f t="shared" si="250"/>
        <v>0.59451013249999995</v>
      </c>
      <c r="R245" s="5">
        <f>+'Project Ostelliere'!R141</f>
        <v>15</v>
      </c>
      <c r="S245" s="6">
        <f>+'Project Ostelliere'!S141</f>
        <v>510</v>
      </c>
      <c r="T245" s="6">
        <f>+'Project Ostelliere'!T141</f>
        <v>9.9085022083333332</v>
      </c>
      <c r="U245" s="6">
        <f>+'Project Ostelliere'!U141</f>
        <v>8.9176519874999993</v>
      </c>
      <c r="V245" s="81">
        <f>+'Project Ostelliere'!V141</f>
        <v>4.3156803448251999</v>
      </c>
      <c r="W245" s="82">
        <f>+'Project Ostelliere'!W141</f>
        <v>6.0541939343137494E-2</v>
      </c>
      <c r="X245" s="82">
        <f>+'Project Ostelliere'!X141</f>
        <v>80.325000000000017</v>
      </c>
      <c r="Y245" s="82">
        <f>+'Project Ostelliere'!Y141</f>
        <v>30.02895752895753</v>
      </c>
      <c r="Z245" s="82">
        <f>+'Project Ostelliere'!Z141</f>
        <v>1.3543883133571428</v>
      </c>
      <c r="AA245" s="82">
        <f>+'Project Ostelliere'!AA141</f>
        <v>1.1486063852484083</v>
      </c>
      <c r="AB245" s="82">
        <f>+'Project Ostelliere'!AB141</f>
        <v>0</v>
      </c>
      <c r="AC245" s="83">
        <f t="shared" si="238"/>
        <v>117.23317451173145</v>
      </c>
      <c r="AD245" s="93">
        <f t="shared" si="239"/>
        <v>7.8155449674487629</v>
      </c>
      <c r="AE245" s="93">
        <f t="shared" si="240"/>
        <v>20</v>
      </c>
      <c r="AF245" s="90">
        <f t="shared" si="241"/>
        <v>12.184455032551238</v>
      </c>
      <c r="AG245" s="91">
        <f t="shared" si="242"/>
        <v>1.5590026138034778</v>
      </c>
      <c r="AH245" s="92">
        <f t="shared" si="243"/>
        <v>300</v>
      </c>
    </row>
    <row r="246" spans="1:34" x14ac:dyDescent="0.3">
      <c r="A246" s="223"/>
      <c r="B246" s="4" t="str">
        <f t="shared" ref="B246:J246" si="251">+B217</f>
        <v>OSTELLIERE</v>
      </c>
      <c r="C246" s="4" t="str">
        <f t="shared" si="251"/>
        <v xml:space="preserve">Vaso Grosso </v>
      </c>
      <c r="D246" s="5">
        <f t="shared" si="251"/>
        <v>4</v>
      </c>
      <c r="E246" s="5">
        <f t="shared" si="251"/>
        <v>5</v>
      </c>
      <c r="F246" s="5">
        <f t="shared" si="251"/>
        <v>1.31</v>
      </c>
      <c r="G246" s="5">
        <f t="shared" si="251"/>
        <v>91</v>
      </c>
      <c r="H246" s="4">
        <f t="shared" si="251"/>
        <v>9.52764444E-4</v>
      </c>
      <c r="I246" s="6">
        <f t="shared" si="251"/>
        <v>2.6465679</v>
      </c>
      <c r="J246" s="6">
        <f t="shared" si="251"/>
        <v>2.3819111099999999</v>
      </c>
      <c r="R246" s="5">
        <f>+'Project Ostelliere'!R142</f>
        <v>2</v>
      </c>
      <c r="S246" s="6">
        <f>+'Project Ostelliere'!S142</f>
        <v>182</v>
      </c>
      <c r="T246" s="6">
        <f>+'Project Ostelliere'!T142</f>
        <v>5.2931357999999999</v>
      </c>
      <c r="U246" s="6">
        <f>+'Project Ostelliere'!U142</f>
        <v>4.7638222199999998</v>
      </c>
      <c r="V246" s="81">
        <f>+'Project Ostelliere'!V142</f>
        <v>1.5401055348199733</v>
      </c>
      <c r="W246" s="82">
        <f>+'Project Ostelliere'!W142</f>
        <v>3.2341589051580001E-2</v>
      </c>
      <c r="X246" s="82">
        <f>+'Project Ostelliere'!X142</f>
        <v>28.665000000000006</v>
      </c>
      <c r="Y246" s="82">
        <f>+'Project Ostelliere'!Y142</f>
        <v>10.716216216216216</v>
      </c>
      <c r="Z246" s="82">
        <f>+'Project Ostelliere'!Z142</f>
        <v>0.48333073143333333</v>
      </c>
      <c r="AA246" s="82">
        <f>+'Project Ostelliere'!AA142</f>
        <v>0.61358714465983732</v>
      </c>
      <c r="AB246" s="82">
        <f>+'Project Ostelliere'!AB142</f>
        <v>0</v>
      </c>
      <c r="AC246" s="83">
        <f t="shared" si="238"/>
        <v>42.050581216180944</v>
      </c>
      <c r="AD246" s="93">
        <f t="shared" si="239"/>
        <v>21.025290608090472</v>
      </c>
      <c r="AE246" s="93">
        <f t="shared" si="240"/>
        <v>200</v>
      </c>
      <c r="AF246" s="90">
        <f t="shared" si="241"/>
        <v>178.97470939190953</v>
      </c>
      <c r="AG246" s="91">
        <f t="shared" si="242"/>
        <v>8.5123536567452049</v>
      </c>
      <c r="AH246" s="92">
        <f t="shared" si="243"/>
        <v>400</v>
      </c>
    </row>
    <row r="247" spans="1:34" x14ac:dyDescent="0.3">
      <c r="A247" s="223"/>
      <c r="B247" s="4" t="str">
        <f t="shared" ref="B247:J247" si="252">+B218</f>
        <v>ORTO</v>
      </c>
      <c r="C247" s="4" t="str">
        <f t="shared" si="252"/>
        <v>Bicchiere curve dritto</v>
      </c>
      <c r="D247" s="5">
        <f t="shared" si="252"/>
        <v>2</v>
      </c>
      <c r="E247" s="5">
        <f t="shared" si="252"/>
        <v>2</v>
      </c>
      <c r="F247" s="5">
        <f t="shared" si="252"/>
        <v>0.26</v>
      </c>
      <c r="G247" s="5">
        <f t="shared" si="252"/>
        <v>26</v>
      </c>
      <c r="H247" s="4">
        <f t="shared" si="252"/>
        <v>1.6928511099999999E-4</v>
      </c>
      <c r="I247" s="6">
        <f t="shared" si="252"/>
        <v>0.47023641944444439</v>
      </c>
      <c r="J247" s="6">
        <f t="shared" si="252"/>
        <v>0.42321277749999997</v>
      </c>
      <c r="R247" s="5">
        <f>+'Project Orto'!R141</f>
        <v>12</v>
      </c>
      <c r="S247" s="6">
        <f>+'Project Orto'!S141</f>
        <v>312</v>
      </c>
      <c r="T247" s="6">
        <f>+'Project Orto'!T141</f>
        <v>5.6428370333333326</v>
      </c>
      <c r="U247" s="6">
        <f>+'Project Orto'!U141</f>
        <v>5.0785533300000001</v>
      </c>
      <c r="V247" s="81">
        <f>+'Project Orto'!V141</f>
        <v>2.6401809168342401</v>
      </c>
      <c r="W247" s="82">
        <f>+'Project Orto'!W141</f>
        <v>3.4478298557370002E-2</v>
      </c>
      <c r="X247" s="82">
        <f>+'Project Orto'!X141</f>
        <v>49.140000000000008</v>
      </c>
      <c r="Y247" s="82">
        <f>+'Project Orto'!Y141</f>
        <v>18.37065637065637</v>
      </c>
      <c r="Z247" s="82">
        <f>+'Project Orto'!Z141</f>
        <v>0.82856696817142861</v>
      </c>
      <c r="AA247" s="82">
        <f>+'Project Orto'!AA141</f>
        <v>0.65412496370559525</v>
      </c>
      <c r="AB247" s="82">
        <f>+'Project Orto'!AB141</f>
        <v>0</v>
      </c>
      <c r="AC247" s="83">
        <f t="shared" si="238"/>
        <v>71.668007517925005</v>
      </c>
      <c r="AD247" s="93">
        <f t="shared" si="239"/>
        <v>5.9723339598270835</v>
      </c>
      <c r="AE247" s="93">
        <f t="shared" si="240"/>
        <v>15</v>
      </c>
      <c r="AF247" s="90">
        <f t="shared" si="241"/>
        <v>9.0276660401729174</v>
      </c>
      <c r="AG247" s="91">
        <f t="shared" si="242"/>
        <v>1.5115809164218765</v>
      </c>
      <c r="AH247" s="92">
        <f t="shared" si="243"/>
        <v>180</v>
      </c>
    </row>
    <row r="248" spans="1:34" x14ac:dyDescent="0.3">
      <c r="A248" s="223"/>
      <c r="B248" s="4" t="str">
        <f t="shared" ref="B248:J248" si="253">+B219</f>
        <v>ORTO</v>
      </c>
      <c r="C248" s="4" t="str">
        <f t="shared" si="253"/>
        <v>Bicchiere curve twist</v>
      </c>
      <c r="D248" s="5">
        <f t="shared" si="253"/>
        <v>2</v>
      </c>
      <c r="E248" s="5">
        <f t="shared" si="253"/>
        <v>2</v>
      </c>
      <c r="F248" s="5">
        <f t="shared" si="253"/>
        <v>0.25</v>
      </c>
      <c r="G248" s="5">
        <f t="shared" si="253"/>
        <v>25</v>
      </c>
      <c r="H248" s="4">
        <f t="shared" si="253"/>
        <v>1.69285896E-4</v>
      </c>
      <c r="I248" s="6">
        <f t="shared" si="253"/>
        <v>0.47023859999999995</v>
      </c>
      <c r="J248" s="6">
        <f t="shared" si="253"/>
        <v>0.42321473999999998</v>
      </c>
      <c r="R248" s="5">
        <f>+'Project Orto'!R142</f>
        <v>12</v>
      </c>
      <c r="S248" s="6">
        <f>+'Project Orto'!S142</f>
        <v>300</v>
      </c>
      <c r="T248" s="6">
        <f>+'Project Orto'!T142</f>
        <v>5.642863199999999</v>
      </c>
      <c r="U248" s="6">
        <f>+'Project Orto'!U142</f>
        <v>5.07857688</v>
      </c>
      <c r="V248" s="81">
        <f>+'Project Orto'!V142</f>
        <v>2.5386354969559997</v>
      </c>
      <c r="W248" s="82">
        <f>+'Project Orto'!W142</f>
        <v>3.4478458438320002E-2</v>
      </c>
      <c r="X248" s="82">
        <f>+'Project Orto'!X142</f>
        <v>47.250000000000007</v>
      </c>
      <c r="Y248" s="82">
        <f>+'Project Orto'!Y142</f>
        <v>17.664092664092664</v>
      </c>
      <c r="Z248" s="82">
        <f>+'Project Orto'!Z142</f>
        <v>0.79669900785714287</v>
      </c>
      <c r="AA248" s="82">
        <f>+'Project Orto'!AA142</f>
        <v>0.65412799697942225</v>
      </c>
      <c r="AB248" s="82">
        <f>+'Project Orto'!AB142</f>
        <v>0</v>
      </c>
      <c r="AC248" s="83">
        <f t="shared" si="238"/>
        <v>68.938033624323552</v>
      </c>
      <c r="AD248" s="93">
        <f t="shared" si="239"/>
        <v>5.7448361353602957</v>
      </c>
      <c r="AE248" s="93">
        <f t="shared" si="240"/>
        <v>15</v>
      </c>
      <c r="AF248" s="90">
        <f t="shared" si="241"/>
        <v>9.2551638646397052</v>
      </c>
      <c r="AG248" s="91">
        <f t="shared" si="242"/>
        <v>1.6110405321524901</v>
      </c>
      <c r="AH248" s="92">
        <f t="shared" si="243"/>
        <v>180</v>
      </c>
    </row>
    <row r="249" spans="1:34" x14ac:dyDescent="0.3">
      <c r="A249" s="223"/>
      <c r="B249" s="4" t="str">
        <f t="shared" ref="B249:J249" si="254">+B220</f>
        <v>ORTO</v>
      </c>
      <c r="C249" s="4" t="str">
        <f t="shared" si="254"/>
        <v>Caraffa curva</v>
      </c>
      <c r="D249" s="5">
        <f t="shared" si="254"/>
        <v>2</v>
      </c>
      <c r="E249" s="5">
        <f t="shared" si="254"/>
        <v>2</v>
      </c>
      <c r="F249" s="5">
        <f t="shared" si="254"/>
        <v>0.56999999999999995</v>
      </c>
      <c r="G249" s="5">
        <f t="shared" si="254"/>
        <v>57</v>
      </c>
      <c r="H249" s="4">
        <f t="shared" si="254"/>
        <v>3.69342133E-4</v>
      </c>
      <c r="I249" s="6">
        <f t="shared" si="254"/>
        <v>1.0259503694444445</v>
      </c>
      <c r="J249" s="6">
        <f t="shared" si="254"/>
        <v>0.92335533250000001</v>
      </c>
      <c r="R249" s="5">
        <f>+'Project Orto'!R143</f>
        <v>2</v>
      </c>
      <c r="S249" s="6">
        <f>+'Project Orto'!S143</f>
        <v>114</v>
      </c>
      <c r="T249" s="6">
        <f>+'Project Orto'!T143</f>
        <v>2.051900738888889</v>
      </c>
      <c r="U249" s="6">
        <f>+'Project Orto'!U143</f>
        <v>1.846710665</v>
      </c>
      <c r="V249" s="81">
        <f>+'Project Orto'!V143</f>
        <v>0.96468148884327987</v>
      </c>
      <c r="W249" s="82">
        <f>+'Project Orto'!W143</f>
        <v>1.2537318704685E-2</v>
      </c>
      <c r="X249" s="82">
        <f>+'Project Orto'!X143</f>
        <v>17.955000000000002</v>
      </c>
      <c r="Y249" s="82">
        <f>+'Project Orto'!Y143</f>
        <v>6.7123552123552122</v>
      </c>
      <c r="Z249" s="82">
        <f>+'Project Orto'!Z143</f>
        <v>0.30274562298571428</v>
      </c>
      <c r="AA249" s="82">
        <f>+'Project Orto'!AA143</f>
        <v>0.23785898625541477</v>
      </c>
      <c r="AB249" s="82">
        <f>+'Project Orto'!AB143</f>
        <v>0</v>
      </c>
      <c r="AC249" s="83">
        <f t="shared" si="238"/>
        <v>26.185178629144307</v>
      </c>
      <c r="AD249" s="93">
        <f t="shared" si="239"/>
        <v>13.092589314572153</v>
      </c>
      <c r="AE249" s="93">
        <f t="shared" si="240"/>
        <v>30</v>
      </c>
      <c r="AF249" s="90">
        <f t="shared" si="241"/>
        <v>16.907410685427848</v>
      </c>
      <c r="AG249" s="91">
        <f t="shared" si="242"/>
        <v>1.2913725680381474</v>
      </c>
      <c r="AH249" s="92">
        <f t="shared" si="243"/>
        <v>60</v>
      </c>
    </row>
    <row r="250" spans="1:34" x14ac:dyDescent="0.3">
      <c r="A250" s="223"/>
      <c r="B250" s="4" t="str">
        <f t="shared" ref="B250:J250" si="255">+B221</f>
        <v>ORTO</v>
      </c>
      <c r="C250" s="4" t="str">
        <f t="shared" si="255"/>
        <v>Caraffa colonna dritta</v>
      </c>
      <c r="D250" s="5">
        <f t="shared" si="255"/>
        <v>2</v>
      </c>
      <c r="E250" s="5">
        <f t="shared" si="255"/>
        <v>1</v>
      </c>
      <c r="F250" s="5">
        <f t="shared" si="255"/>
        <v>1.4</v>
      </c>
      <c r="G250" s="5">
        <f t="shared" si="255"/>
        <v>100</v>
      </c>
      <c r="H250" s="4">
        <f t="shared" si="255"/>
        <v>3.2796365999999998E-4</v>
      </c>
      <c r="I250" s="6">
        <f t="shared" si="255"/>
        <v>0.91101016666666657</v>
      </c>
      <c r="J250" s="6">
        <f t="shared" si="255"/>
        <v>0.81990914999999998</v>
      </c>
      <c r="R250" s="5">
        <f>+'Project Orto'!R144</f>
        <v>2</v>
      </c>
      <c r="S250" s="6">
        <f>+'Project Orto'!S144</f>
        <v>200</v>
      </c>
      <c r="T250" s="6">
        <f>+'Project Orto'!T144</f>
        <v>1.8220203333333331</v>
      </c>
      <c r="U250" s="6">
        <f>+'Project Orto'!U144</f>
        <v>1.6398183</v>
      </c>
      <c r="V250" s="81">
        <f>+'Project Orto'!V144</f>
        <v>1.6924236646373332</v>
      </c>
      <c r="W250" s="82">
        <f>+'Project Orto'!W144</f>
        <v>1.1132726438699999E-2</v>
      </c>
      <c r="X250" s="82">
        <f>+'Project Orto'!X144</f>
        <v>31.500000000000007</v>
      </c>
      <c r="Y250" s="82">
        <f>+'Project Orto'!Y144</f>
        <v>11.776061776061777</v>
      </c>
      <c r="Z250" s="82">
        <f>+'Project Orto'!Z144</f>
        <v>0.53113267190476188</v>
      </c>
      <c r="AA250" s="82">
        <f>+'Project Orto'!AA144</f>
        <v>0.21121095246454188</v>
      </c>
      <c r="AB250" s="82">
        <f>+'Project Orto'!AB144</f>
        <v>0</v>
      </c>
      <c r="AC250" s="83">
        <f t="shared" si="238"/>
        <v>45.72196179150712</v>
      </c>
      <c r="AD250" s="93">
        <f t="shared" si="239"/>
        <v>22.86098089575356</v>
      </c>
      <c r="AE250" s="93">
        <f t="shared" si="240"/>
        <v>30</v>
      </c>
      <c r="AF250" s="90">
        <f t="shared" si="241"/>
        <v>7.1390191042464402</v>
      </c>
      <c r="AG250" s="91">
        <f t="shared" si="242"/>
        <v>0.31227964962660537</v>
      </c>
      <c r="AH250" s="92">
        <f t="shared" si="243"/>
        <v>60</v>
      </c>
    </row>
    <row r="251" spans="1:34" x14ac:dyDescent="0.3">
      <c r="A251" s="223"/>
      <c r="B251" s="4" t="str">
        <f t="shared" ref="B251:J251" si="256">+B222</f>
        <v>ORTO</v>
      </c>
      <c r="C251" s="4" t="str">
        <f t="shared" si="256"/>
        <v>Caraffa colonna twist1</v>
      </c>
      <c r="D251" s="5">
        <f t="shared" si="256"/>
        <v>2</v>
      </c>
      <c r="E251" s="5">
        <f t="shared" si="256"/>
        <v>1</v>
      </c>
      <c r="F251" s="5">
        <f t="shared" si="256"/>
        <v>1.41</v>
      </c>
      <c r="G251" s="5">
        <f t="shared" si="256"/>
        <v>101</v>
      </c>
      <c r="H251" s="4">
        <f t="shared" si="256"/>
        <v>3.323221E-4</v>
      </c>
      <c r="I251" s="6">
        <f t="shared" si="256"/>
        <v>0.92311694444444448</v>
      </c>
      <c r="J251" s="6">
        <f t="shared" si="256"/>
        <v>0.83080525000000005</v>
      </c>
      <c r="R251" s="5">
        <f>+'Project Orto'!R145</f>
        <v>2</v>
      </c>
      <c r="S251" s="6">
        <f>+'Project Orto'!S145</f>
        <v>202</v>
      </c>
      <c r="T251" s="6">
        <f>+'Project Orto'!T145</f>
        <v>1.846233888888889</v>
      </c>
      <c r="U251" s="6">
        <f>+'Project Orto'!U145</f>
        <v>1.6616105000000001</v>
      </c>
      <c r="V251" s="81">
        <f>+'Project Orto'!V145</f>
        <v>1.7093479012837065</v>
      </c>
      <c r="W251" s="82">
        <f>+'Project Orto'!W145</f>
        <v>1.12806736845E-2</v>
      </c>
      <c r="X251" s="82">
        <f>+'Project Orto'!X145</f>
        <v>31.815000000000005</v>
      </c>
      <c r="Y251" s="82">
        <f>+'Project Orto'!Y145</f>
        <v>11.893822393822393</v>
      </c>
      <c r="Z251" s="82">
        <f>+'Project Orto'!Z145</f>
        <v>0.53644399862380954</v>
      </c>
      <c r="AA251" s="82">
        <f>+'Project Orto'!AA145</f>
        <v>0.21401781912671894</v>
      </c>
      <c r="AB251" s="82">
        <f>+'Project Orto'!AB145</f>
        <v>0</v>
      </c>
      <c r="AC251" s="83">
        <f t="shared" si="238"/>
        <v>46.179912786541131</v>
      </c>
      <c r="AD251" s="93">
        <f t="shared" si="239"/>
        <v>23.089956393270565</v>
      </c>
      <c r="AE251" s="93">
        <f t="shared" si="240"/>
        <v>30</v>
      </c>
      <c r="AF251" s="90">
        <f t="shared" si="241"/>
        <v>6.9100436067294346</v>
      </c>
      <c r="AG251" s="91">
        <f t="shared" si="242"/>
        <v>0.29926620427673595</v>
      </c>
      <c r="AH251" s="92">
        <f t="shared" si="243"/>
        <v>60</v>
      </c>
    </row>
    <row r="252" spans="1:34" x14ac:dyDescent="0.3">
      <c r="A252" s="223"/>
      <c r="B252" s="4" t="str">
        <f t="shared" ref="B252:J252" si="257">+B223</f>
        <v>ORTO</v>
      </c>
      <c r="C252" s="4" t="str">
        <f t="shared" si="257"/>
        <v>Caraffa colonna twist2</v>
      </c>
      <c r="D252" s="5">
        <f t="shared" si="257"/>
        <v>2</v>
      </c>
      <c r="E252" s="5">
        <f t="shared" si="257"/>
        <v>1</v>
      </c>
      <c r="F252" s="5">
        <f t="shared" si="257"/>
        <v>1.45</v>
      </c>
      <c r="G252" s="5">
        <f t="shared" si="257"/>
        <v>105</v>
      </c>
      <c r="H252" s="4">
        <f t="shared" si="257"/>
        <v>3.4271101000000001E-4</v>
      </c>
      <c r="I252" s="6">
        <f t="shared" si="257"/>
        <v>0.95197502777777776</v>
      </c>
      <c r="J252" s="6">
        <f t="shared" si="257"/>
        <v>0.85677752500000004</v>
      </c>
      <c r="R252" s="5">
        <f>+'Project Orto'!R146</f>
        <v>2</v>
      </c>
      <c r="S252" s="6">
        <f>+'Project Orto'!S146</f>
        <v>210</v>
      </c>
      <c r="T252" s="6">
        <f>+'Project Orto'!T146</f>
        <v>1.9039500555555555</v>
      </c>
      <c r="U252" s="6">
        <f>+'Project Orto'!U146</f>
        <v>1.7135550500000001</v>
      </c>
      <c r="V252" s="81">
        <f>+'Project Orto'!V146</f>
        <v>1.7770448478691998</v>
      </c>
      <c r="W252" s="82">
        <f>+'Project Orto'!W146</f>
        <v>1.1633325234450001E-2</v>
      </c>
      <c r="X252" s="82">
        <f>+'Project Orto'!X146</f>
        <v>33.075000000000003</v>
      </c>
      <c r="Y252" s="82">
        <f>+'Project Orto'!Y146</f>
        <v>12.364864864864865</v>
      </c>
      <c r="Z252" s="82">
        <f>+'Project Orto'!Z146</f>
        <v>0.55768930550000007</v>
      </c>
      <c r="AA252" s="82">
        <f>+'Project Orto'!AA146</f>
        <v>0.22070835177953907</v>
      </c>
      <c r="AB252" s="82">
        <f>+'Project Orto'!AB146</f>
        <v>0</v>
      </c>
      <c r="AC252" s="83">
        <f t="shared" si="238"/>
        <v>48.006940695248055</v>
      </c>
      <c r="AD252" s="93">
        <f t="shared" si="239"/>
        <v>24.003470347624027</v>
      </c>
      <c r="AE252" s="93">
        <f t="shared" si="240"/>
        <v>30</v>
      </c>
      <c r="AF252" s="90">
        <f t="shared" si="241"/>
        <v>5.9965296523759726</v>
      </c>
      <c r="AG252" s="91">
        <f t="shared" si="242"/>
        <v>0.24981927885979771</v>
      </c>
      <c r="AH252" s="92">
        <f t="shared" si="243"/>
        <v>60</v>
      </c>
    </row>
    <row r="253" spans="1:34" x14ac:dyDescent="0.3">
      <c r="A253" s="223"/>
      <c r="B253" s="4" t="str">
        <f t="shared" ref="B253:J253" si="258">+B224</f>
        <v>ORTO</v>
      </c>
      <c r="C253" s="4" t="str">
        <f t="shared" si="258"/>
        <v>Caraffa colonna twist3</v>
      </c>
      <c r="D253" s="5">
        <f t="shared" si="258"/>
        <v>2</v>
      </c>
      <c r="E253" s="5">
        <f t="shared" si="258"/>
        <v>1</v>
      </c>
      <c r="F253" s="5">
        <f t="shared" si="258"/>
        <v>1.42</v>
      </c>
      <c r="G253" s="5">
        <f t="shared" si="258"/>
        <v>102</v>
      </c>
      <c r="H253" s="4">
        <f t="shared" si="258"/>
        <v>3.3727121999999998E-4</v>
      </c>
      <c r="I253" s="6">
        <f t="shared" si="258"/>
        <v>0.93686449999999988</v>
      </c>
      <c r="J253" s="6">
        <f t="shared" si="258"/>
        <v>0.8431780499999999</v>
      </c>
      <c r="R253" s="5">
        <f>+'Project Orto'!R147</f>
        <v>2</v>
      </c>
      <c r="S253" s="6">
        <f>+'Project Orto'!S147</f>
        <v>204</v>
      </c>
      <c r="T253" s="6">
        <f>+'Project Orto'!T147</f>
        <v>1.8737289999999998</v>
      </c>
      <c r="U253" s="6">
        <f>+'Project Orto'!U147</f>
        <v>1.6863560999999998</v>
      </c>
      <c r="V253" s="81">
        <f>+'Project Orto'!V147</f>
        <v>1.7262721379300801</v>
      </c>
      <c r="W253" s="82">
        <f>+'Project Orto'!W147</f>
        <v>1.1448671562899998E-2</v>
      </c>
      <c r="X253" s="82">
        <f>+'Project Orto'!X147</f>
        <v>32.130000000000003</v>
      </c>
      <c r="Y253" s="82">
        <f>+'Project Orto'!Y147</f>
        <v>12.011583011583012</v>
      </c>
      <c r="Z253" s="82">
        <f>+'Project Orto'!Z147</f>
        <v>0.5417553253428572</v>
      </c>
      <c r="AA253" s="82">
        <f>+'Project Orto'!AA147</f>
        <v>0.21720508795114082</v>
      </c>
      <c r="AB253" s="82">
        <f>+'Project Orto'!AB147</f>
        <v>0</v>
      </c>
      <c r="AC253" s="83">
        <f t="shared" si="238"/>
        <v>46.638264234369991</v>
      </c>
      <c r="AD253" s="93">
        <f t="shared" si="239"/>
        <v>23.319132117184996</v>
      </c>
      <c r="AE253" s="93">
        <f t="shared" si="240"/>
        <v>30</v>
      </c>
      <c r="AF253" s="90">
        <f t="shared" si="241"/>
        <v>6.6808678828150043</v>
      </c>
      <c r="AG253" s="91">
        <f t="shared" si="242"/>
        <v>0.28649727825383131</v>
      </c>
      <c r="AH253" s="92">
        <f t="shared" si="243"/>
        <v>60</v>
      </c>
    </row>
    <row r="254" spans="1:34" x14ac:dyDescent="0.3">
      <c r="A254" s="223"/>
      <c r="B254" s="4" t="str">
        <f t="shared" ref="B254:J254" si="259">+B225</f>
        <v>ORTO</v>
      </c>
      <c r="C254" s="4" t="str">
        <f t="shared" si="259"/>
        <v>Bicchiere colonna twist1</v>
      </c>
      <c r="D254" s="5">
        <f t="shared" si="259"/>
        <v>1</v>
      </c>
      <c r="E254" s="5">
        <f t="shared" si="259"/>
        <v>1</v>
      </c>
      <c r="F254" s="5">
        <f t="shared" si="259"/>
        <v>0.57999999999999996</v>
      </c>
      <c r="G254" s="5">
        <f t="shared" si="259"/>
        <v>58</v>
      </c>
      <c r="H254" s="4">
        <f t="shared" si="259"/>
        <v>9.7981700000000004E-5</v>
      </c>
      <c r="I254" s="6">
        <f t="shared" si="259"/>
        <v>0.27217138888888892</v>
      </c>
      <c r="J254" s="6">
        <f t="shared" si="259"/>
        <v>0.24495425000000001</v>
      </c>
      <c r="R254" s="5">
        <f>+'Project Orto'!R148</f>
        <v>12</v>
      </c>
      <c r="S254" s="6">
        <f>+'Project Orto'!S148</f>
        <v>696</v>
      </c>
      <c r="T254" s="6">
        <f>+'Project Orto'!T148</f>
        <v>3.2660566666666671</v>
      </c>
      <c r="U254" s="6">
        <f>+'Project Orto'!U148</f>
        <v>2.939451</v>
      </c>
      <c r="V254" s="81">
        <f>+'Project Orto'!V148</f>
        <v>5.8896343529379198</v>
      </c>
      <c r="W254" s="82">
        <f>+'Project Orto'!W148</f>
        <v>1.9955932839000001E-2</v>
      </c>
      <c r="X254" s="82">
        <f>+'Project Orto'!X148</f>
        <v>109.62000000000002</v>
      </c>
      <c r="Y254" s="82">
        <f>+'Project Orto'!Y148</f>
        <v>40.980694980694977</v>
      </c>
      <c r="Z254" s="82">
        <f>+'Project Orto'!Z148</f>
        <v>1.8483416982285714</v>
      </c>
      <c r="AA254" s="82">
        <f>+'Project Orto'!AA148</f>
        <v>0.37860551100865886</v>
      </c>
      <c r="AB254" s="82">
        <f>+'Project Orto'!AB148</f>
        <v>0</v>
      </c>
      <c r="AC254" s="83">
        <f t="shared" si="238"/>
        <v>158.73723247570913</v>
      </c>
      <c r="AD254" s="93">
        <f t="shared" si="239"/>
        <v>13.228102706309095</v>
      </c>
      <c r="AE254" s="93">
        <f t="shared" si="240"/>
        <v>15</v>
      </c>
      <c r="AF254" s="90">
        <f t="shared" si="241"/>
        <v>1.7718972936909054</v>
      </c>
      <c r="AG254" s="91">
        <f t="shared" si="242"/>
        <v>0.13394946599906618</v>
      </c>
      <c r="AH254" s="92">
        <f t="shared" si="243"/>
        <v>180</v>
      </c>
    </row>
    <row r="255" spans="1:34" x14ac:dyDescent="0.3">
      <c r="A255" s="223"/>
      <c r="B255" s="4" t="str">
        <f t="shared" ref="B255:J255" si="260">+B226</f>
        <v>ORTO</v>
      </c>
      <c r="C255" s="4" t="str">
        <f t="shared" si="260"/>
        <v>Bicchiere colonna twist2</v>
      </c>
      <c r="D255" s="5">
        <f t="shared" si="260"/>
        <v>1</v>
      </c>
      <c r="E255" s="5">
        <f t="shared" si="260"/>
        <v>1</v>
      </c>
      <c r="F255" s="5">
        <f t="shared" si="260"/>
        <v>0.59</v>
      </c>
      <c r="G255" s="5">
        <f t="shared" si="260"/>
        <v>59</v>
      </c>
      <c r="H255" s="4">
        <f t="shared" si="260"/>
        <v>9.7982366999999995E-5</v>
      </c>
      <c r="I255" s="6">
        <f t="shared" si="260"/>
        <v>0.27217324166666662</v>
      </c>
      <c r="J255" s="6">
        <f t="shared" si="260"/>
        <v>0.24495591749999998</v>
      </c>
      <c r="R255" s="5">
        <f>+'Project Orto'!R149</f>
        <v>12</v>
      </c>
      <c r="S255" s="6">
        <f>+'Project Orto'!S149</f>
        <v>708</v>
      </c>
      <c r="T255" s="6">
        <f>+'Project Orto'!T149</f>
        <v>3.2660788999999992</v>
      </c>
      <c r="U255" s="6">
        <f>+'Project Orto'!U149</f>
        <v>2.9394710099999997</v>
      </c>
      <c r="V255" s="81">
        <f>+'Project Orto'!V149</f>
        <v>5.9911797728161593</v>
      </c>
      <c r="W255" s="82">
        <f>+'Project Orto'!W149</f>
        <v>1.9956068686889997E-2</v>
      </c>
      <c r="X255" s="82">
        <f>+'Project Orto'!X149</f>
        <v>111.51000000000002</v>
      </c>
      <c r="Y255" s="82">
        <f>+'Project Orto'!Y149</f>
        <v>41.687258687258691</v>
      </c>
      <c r="Z255" s="82">
        <f>+'Project Orto'!Z149</f>
        <v>1.8802096585428572</v>
      </c>
      <c r="AA255" s="82">
        <f>+'Project Orto'!AA149</f>
        <v>0.37860808832540094</v>
      </c>
      <c r="AB255" s="82">
        <f>+'Project Orto'!AB149</f>
        <v>0</v>
      </c>
      <c r="AC255" s="83">
        <f t="shared" si="238"/>
        <v>161.46721227563</v>
      </c>
      <c r="AD255" s="93">
        <f t="shared" si="239"/>
        <v>13.455601022969168</v>
      </c>
      <c r="AE255" s="93">
        <f t="shared" si="240"/>
        <v>15</v>
      </c>
      <c r="AF255" s="90">
        <f t="shared" si="241"/>
        <v>1.5443989770308324</v>
      </c>
      <c r="AG255" s="91">
        <f t="shared" si="242"/>
        <v>0.11477740566136667</v>
      </c>
      <c r="AH255" s="92">
        <f t="shared" si="243"/>
        <v>180</v>
      </c>
    </row>
    <row r="256" spans="1:34" x14ac:dyDescent="0.3">
      <c r="A256" s="223"/>
      <c r="B256" s="4" t="str">
        <f t="shared" ref="B256:J256" si="261">+B227</f>
        <v>ORTO</v>
      </c>
      <c r="C256" s="4" t="str">
        <f t="shared" si="261"/>
        <v>Bicchiere colonna twist3</v>
      </c>
      <c r="D256" s="5">
        <f t="shared" si="261"/>
        <v>1</v>
      </c>
      <c r="E256" s="5">
        <f t="shared" si="261"/>
        <v>1</v>
      </c>
      <c r="F256" s="5">
        <f t="shared" si="261"/>
        <v>0.59</v>
      </c>
      <c r="G256" s="5">
        <f t="shared" si="261"/>
        <v>59</v>
      </c>
      <c r="H256" s="4">
        <f t="shared" si="261"/>
        <v>9.7984652999999995E-5</v>
      </c>
      <c r="I256" s="6">
        <f t="shared" si="261"/>
        <v>0.27217959166666666</v>
      </c>
      <c r="J256" s="6">
        <f t="shared" si="261"/>
        <v>0.2449616325</v>
      </c>
      <c r="R256" s="5">
        <f>+'Project Orto'!R150</f>
        <v>12</v>
      </c>
      <c r="S256" s="6">
        <f>+'Project Orto'!S150</f>
        <v>708</v>
      </c>
      <c r="T256" s="6">
        <f>+'Project Orto'!T150</f>
        <v>3.2661550999999998</v>
      </c>
      <c r="U256" s="6">
        <f>+'Project Orto'!U150</f>
        <v>2.9395395899999999</v>
      </c>
      <c r="V256" s="81">
        <f>+'Project Orto'!V150</f>
        <v>5.9911797728161593</v>
      </c>
      <c r="W256" s="82">
        <f>+'Project Orto'!W150</f>
        <v>1.995653427651E-2</v>
      </c>
      <c r="X256" s="82">
        <f>+'Project Orto'!X150</f>
        <v>111.51000000000002</v>
      </c>
      <c r="Y256" s="82">
        <f>+'Project Orto'!Y150</f>
        <v>41.687258687258691</v>
      </c>
      <c r="Z256" s="82">
        <f>+'Project Orto'!Z150</f>
        <v>1.8802096585428572</v>
      </c>
      <c r="AA256" s="82">
        <f>+'Project Orto'!AA150</f>
        <v>0.37861692152790888</v>
      </c>
      <c r="AB256" s="82">
        <f>+'Project Orto'!AB150</f>
        <v>0</v>
      </c>
      <c r="AC256" s="83">
        <f t="shared" si="238"/>
        <v>161.46722157442215</v>
      </c>
      <c r="AD256" s="93">
        <f t="shared" si="239"/>
        <v>13.455601797868512</v>
      </c>
      <c r="AE256" s="93">
        <f t="shared" si="240"/>
        <v>15</v>
      </c>
      <c r="AF256" s="90">
        <f t="shared" si="241"/>
        <v>1.5443982021314877</v>
      </c>
      <c r="AG256" s="91">
        <f t="shared" si="242"/>
        <v>0.11477734146206187</v>
      </c>
      <c r="AH256" s="92">
        <f t="shared" si="243"/>
        <v>180</v>
      </c>
    </row>
    <row r="257" spans="1:35" x14ac:dyDescent="0.3">
      <c r="A257" s="223"/>
      <c r="B257" s="4" t="str">
        <f t="shared" ref="B257:J257" si="262">+B228</f>
        <v>ORTO</v>
      </c>
      <c r="C257" s="4" t="str">
        <f t="shared" si="262"/>
        <v>Bicchiere colonna twist alto</v>
      </c>
      <c r="D257" s="5">
        <f t="shared" si="262"/>
        <v>1</v>
      </c>
      <c r="E257" s="5">
        <f t="shared" si="262"/>
        <v>1</v>
      </c>
      <c r="F257" s="5">
        <f t="shared" si="262"/>
        <v>0.57999999999999996</v>
      </c>
      <c r="G257" s="5">
        <f t="shared" si="262"/>
        <v>58</v>
      </c>
      <c r="H257" s="4">
        <f t="shared" si="262"/>
        <v>9.4065272999999995E-5</v>
      </c>
      <c r="I257" s="6">
        <f t="shared" si="262"/>
        <v>0.26129242499999999</v>
      </c>
      <c r="J257" s="6">
        <f t="shared" si="262"/>
        <v>0.23516318249999998</v>
      </c>
      <c r="R257" s="5">
        <f>+'Project Orto'!R151</f>
        <v>12</v>
      </c>
      <c r="S257" s="6">
        <f>+'Project Orto'!S151</f>
        <v>696</v>
      </c>
      <c r="T257" s="6">
        <f>+'Project Orto'!T151</f>
        <v>3.1355091000000002</v>
      </c>
      <c r="U257" s="6">
        <f>+'Project Orto'!U151</f>
        <v>2.8219581899999997</v>
      </c>
      <c r="V257" s="81">
        <f>+'Project Orto'!V151</f>
        <v>5.8896343529379198</v>
      </c>
      <c r="W257" s="82">
        <f>+'Project Orto'!W151</f>
        <v>1.9158274151909998E-2</v>
      </c>
      <c r="X257" s="82">
        <f>+'Project Orto'!X151</f>
        <v>109.62000000000002</v>
      </c>
      <c r="Y257" s="82">
        <f>+'Project Orto'!Y151</f>
        <v>40.980694980694977</v>
      </c>
      <c r="Z257" s="82">
        <f>+'Project Orto'!Z151</f>
        <v>1.8483416982285714</v>
      </c>
      <c r="AA257" s="82">
        <f>+'Project Orto'!AA151</f>
        <v>0.36347226831473628</v>
      </c>
      <c r="AB257" s="82">
        <f>+'Project Orto'!AB151</f>
        <v>0</v>
      </c>
      <c r="AC257" s="83">
        <f t="shared" si="238"/>
        <v>158.72130157432812</v>
      </c>
      <c r="AD257" s="93">
        <f t="shared" si="239"/>
        <v>13.22677513119401</v>
      </c>
      <c r="AE257" s="93">
        <f t="shared" si="240"/>
        <v>15</v>
      </c>
      <c r="AF257" s="90">
        <f t="shared" si="241"/>
        <v>1.7732248688059897</v>
      </c>
      <c r="AG257" s="91">
        <f t="shared" si="242"/>
        <v>0.13406328082376015</v>
      </c>
      <c r="AH257" s="92">
        <f t="shared" si="243"/>
        <v>180</v>
      </c>
    </row>
    <row r="258" spans="1:35" x14ac:dyDescent="0.3">
      <c r="A258" s="223"/>
      <c r="B258" s="4" t="str">
        <f t="shared" ref="B258:J258" si="263">+B229</f>
        <v>LA GALLINA</v>
      </c>
      <c r="C258" s="4" t="str">
        <f t="shared" si="263"/>
        <v>Oliera1</v>
      </c>
      <c r="D258" s="5">
        <f t="shared" si="263"/>
        <v>2</v>
      </c>
      <c r="E258" s="5">
        <f t="shared" si="263"/>
        <v>1</v>
      </c>
      <c r="F258" s="5">
        <f t="shared" si="263"/>
        <v>0.54</v>
      </c>
      <c r="G258" s="5">
        <f t="shared" si="263"/>
        <v>54</v>
      </c>
      <c r="H258" s="4">
        <f t="shared" si="263"/>
        <v>1.830542E-4</v>
      </c>
      <c r="I258" s="6">
        <f t="shared" si="263"/>
        <v>0.50848388888888885</v>
      </c>
      <c r="J258" s="6">
        <f t="shared" si="263"/>
        <v>0.45763549999999997</v>
      </c>
      <c r="R258" s="5">
        <f>+'Project La Gallina'!R69</f>
        <v>10</v>
      </c>
      <c r="S258" s="6">
        <f>+'Project La Gallina'!S69</f>
        <v>540</v>
      </c>
      <c r="T258" s="6">
        <f>+'Project La Gallina'!T69</f>
        <v>5.0848388888888882</v>
      </c>
      <c r="U258" s="6">
        <f>+'Project La Gallina'!U69</f>
        <v>4.5763549999999995</v>
      </c>
      <c r="V258" s="81">
        <f>+'Project La Gallina'!V69</f>
        <v>4.5695438945208</v>
      </c>
      <c r="W258" s="82">
        <f>+'Project La Gallina'!W69</f>
        <v>3.1068874094999997E-2</v>
      </c>
      <c r="X258" s="82">
        <f>+'Project La Gallina'!X69</f>
        <v>85.050000000000011</v>
      </c>
      <c r="Y258" s="82">
        <f>+'Project La Gallina'!Y69</f>
        <v>31.795366795366796</v>
      </c>
      <c r="Z258" s="82">
        <f>+'Project La Gallina'!Z69</f>
        <v>1.2857142857142856</v>
      </c>
      <c r="AA258" s="82">
        <f>+'Project La Gallina'!AA69</f>
        <v>0.5894410974471187</v>
      </c>
      <c r="AB258" s="82">
        <f>+'Project La Gallina'!AB69</f>
        <v>0</v>
      </c>
      <c r="AC258" s="83">
        <f t="shared" si="238"/>
        <v>123.32113494714402</v>
      </c>
      <c r="AD258" s="93">
        <f t="shared" si="239"/>
        <v>12.332113494714402</v>
      </c>
      <c r="AE258" s="93">
        <f t="shared" si="240"/>
        <v>20</v>
      </c>
      <c r="AF258" s="90">
        <f t="shared" si="241"/>
        <v>7.6678865052855976</v>
      </c>
      <c r="AG258" s="91">
        <f t="shared" si="242"/>
        <v>0.62178202532534976</v>
      </c>
      <c r="AH258" s="92">
        <f t="shared" si="243"/>
        <v>200</v>
      </c>
    </row>
    <row r="259" spans="1:35" ht="15" thickBot="1" x14ac:dyDescent="0.35">
      <c r="A259" s="224"/>
      <c r="B259" s="4" t="str">
        <f t="shared" ref="B259:J259" si="264">+B230</f>
        <v>LA GALLINA</v>
      </c>
      <c r="C259" s="4" t="str">
        <f t="shared" si="264"/>
        <v>Piatto spirale</v>
      </c>
      <c r="D259" s="5">
        <f t="shared" si="264"/>
        <v>4</v>
      </c>
      <c r="E259" s="5">
        <f t="shared" si="264"/>
        <v>5</v>
      </c>
      <c r="F259" s="5">
        <f t="shared" si="264"/>
        <v>0.25</v>
      </c>
      <c r="G259" s="5">
        <f t="shared" si="264"/>
        <v>25</v>
      </c>
      <c r="H259" s="4">
        <f t="shared" si="264"/>
        <v>1.575448E-4</v>
      </c>
      <c r="I259" s="6">
        <f t="shared" si="264"/>
        <v>0.43762444444444443</v>
      </c>
      <c r="J259" s="6">
        <f t="shared" si="264"/>
        <v>0.39386199999999999</v>
      </c>
      <c r="R259" s="5">
        <f>+'Project La Gallina'!R70</f>
        <v>10</v>
      </c>
      <c r="S259" s="6">
        <f>+'Project La Gallina'!S70</f>
        <v>250</v>
      </c>
      <c r="T259" s="6">
        <f>+'Project La Gallina'!T70</f>
        <v>4.3762444444444446</v>
      </c>
      <c r="U259" s="6">
        <f>+'Project La Gallina'!U70</f>
        <v>3.9386199999999998</v>
      </c>
      <c r="V259" s="84">
        <f>+'Project La Gallina'!V70</f>
        <v>2.1155295807966668</v>
      </c>
      <c r="W259" s="85">
        <f>+'Project La Gallina'!W70</f>
        <v>2.6739291179999999E-2</v>
      </c>
      <c r="X259" s="85">
        <f>+'Project La Gallina'!X70</f>
        <v>39.375000000000007</v>
      </c>
      <c r="Y259" s="85">
        <f>+'Project La Gallina'!Y70</f>
        <v>14.72007722007722</v>
      </c>
      <c r="Z259" s="85">
        <f>+'Project La Gallina'!Z70</f>
        <v>0.59523809523809523</v>
      </c>
      <c r="AA259" s="85">
        <f>+'Project La Gallina'!AA70</f>
        <v>0.50729991340863434</v>
      </c>
      <c r="AB259" s="85">
        <f>+'Project La Gallina'!AB70</f>
        <v>0</v>
      </c>
      <c r="AC259" s="83">
        <f t="shared" si="238"/>
        <v>57.33988410070063</v>
      </c>
      <c r="AD259" s="93">
        <f t="shared" si="239"/>
        <v>5.7339884100700633</v>
      </c>
      <c r="AE259" s="93">
        <f t="shared" si="240"/>
        <v>15</v>
      </c>
      <c r="AF259" s="90">
        <f t="shared" si="241"/>
        <v>9.2660115899299367</v>
      </c>
      <c r="AG259" s="91">
        <f t="shared" si="242"/>
        <v>1.6159801742286248</v>
      </c>
      <c r="AH259" s="92">
        <f t="shared" si="243"/>
        <v>150</v>
      </c>
    </row>
    <row r="262" spans="1:35" ht="18.600000000000001" thickBot="1" x14ac:dyDescent="0.4">
      <c r="D262" s="237" t="s">
        <v>40</v>
      </c>
      <c r="E262" s="237"/>
      <c r="F262" s="237"/>
      <c r="G262" s="237"/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10" t="s">
        <v>32</v>
      </c>
      <c r="S262" s="87">
        <f>+S264/60/7</f>
        <v>20.461904761904758</v>
      </c>
      <c r="T262" s="88" t="s">
        <v>83</v>
      </c>
    </row>
    <row r="263" spans="1:35" x14ac:dyDescent="0.3">
      <c r="D263" s="236" t="s">
        <v>33</v>
      </c>
      <c r="E263" s="236"/>
      <c r="F263" s="236"/>
      <c r="G263" s="236"/>
      <c r="H263" s="236"/>
      <c r="I263" s="236"/>
      <c r="J263" s="236"/>
      <c r="M263" s="236" t="s">
        <v>36</v>
      </c>
      <c r="N263" s="236"/>
      <c r="O263" s="236"/>
      <c r="P263" s="236"/>
      <c r="Q263" s="236"/>
      <c r="V263" s="238" t="s">
        <v>135</v>
      </c>
      <c r="W263" s="239"/>
      <c r="X263" s="239"/>
      <c r="Y263" s="239"/>
      <c r="Z263" s="239"/>
      <c r="AA263" s="239"/>
      <c r="AB263" s="239"/>
      <c r="AC263" s="240"/>
    </row>
    <row r="264" spans="1:35" ht="18" x14ac:dyDescent="0.35">
      <c r="B264" s="178" t="s">
        <v>468</v>
      </c>
      <c r="F264" s="225" t="s">
        <v>44</v>
      </c>
      <c r="G264" s="225"/>
      <c r="I264" s="20">
        <f>SUBTOTAL(9,I266:I288)</f>
        <v>59.570075669444442</v>
      </c>
      <c r="J264" s="20">
        <f>SUBTOTAL(9,J266:J288)</f>
        <v>53.613068102499987</v>
      </c>
      <c r="K264" s="1">
        <f>+'Finished goods'!$I$3</f>
        <v>2500</v>
      </c>
      <c r="L264" s="1">
        <f>+'Finished goods'!$J$3</f>
        <v>0.9</v>
      </c>
      <c r="M264" s="15">
        <f>+'Finished goods'!$K$3</f>
        <v>0.50772709939119998</v>
      </c>
      <c r="N264" s="15">
        <f>+'Finished goods'!$L$3</f>
        <v>6.7889999999999999E-3</v>
      </c>
      <c r="O264" s="13">
        <f>+'Finished goods'!$M$3</f>
        <v>0.15750000000000003</v>
      </c>
      <c r="P264" s="46">
        <f>+'Finished goods'!$N$3</f>
        <v>5.8880308880308881E-2</v>
      </c>
      <c r="Q264" s="1"/>
      <c r="S264" s="17">
        <f>SUBTOTAL(9,S266:S288)</f>
        <v>8594</v>
      </c>
      <c r="T264" s="17">
        <f>SUBTOTAL(9,T266:T288)</f>
        <v>162.95047083611109</v>
      </c>
      <c r="U264" s="75">
        <f>SUBTOTAL(9,U266:U288)</f>
        <v>146.65542375250001</v>
      </c>
      <c r="V264" s="77">
        <f t="shared" ref="V264:AC264" si="265">SUBTOTAL(9,V266:V288)</f>
        <v>72.723444869466206</v>
      </c>
      <c r="W264" s="17">
        <f t="shared" si="265"/>
        <v>0.99564367185572245</v>
      </c>
      <c r="X264" s="17">
        <f t="shared" si="265"/>
        <v>1353.5550000000003</v>
      </c>
      <c r="Y264" s="17">
        <f t="shared" si="265"/>
        <v>506.01737451737455</v>
      </c>
      <c r="Z264" s="17">
        <f t="shared" si="265"/>
        <v>22.605749238676189</v>
      </c>
      <c r="AA264" s="17">
        <f t="shared" si="265"/>
        <v>18.889429234236815</v>
      </c>
      <c r="AB264" s="17">
        <f t="shared" si="265"/>
        <v>468</v>
      </c>
      <c r="AC264" s="78">
        <f t="shared" si="265"/>
        <v>2442.7866415316093</v>
      </c>
      <c r="AF264" s="225" t="s">
        <v>118</v>
      </c>
      <c r="AG264" s="225"/>
      <c r="AH264" s="108">
        <f t="shared" ref="AH264" si="266">SUBTOTAL(9,AH266:AH288)</f>
        <v>8320</v>
      </c>
      <c r="AI264" s="95"/>
    </row>
    <row r="265" spans="1:35" x14ac:dyDescent="0.3">
      <c r="A265" s="1" t="s">
        <v>145</v>
      </c>
      <c r="B265" s="1" t="s">
        <v>30</v>
      </c>
      <c r="C265" s="1" t="s">
        <v>0</v>
      </c>
      <c r="D265" s="1" t="s">
        <v>4</v>
      </c>
      <c r="E265" s="1" t="s">
        <v>5</v>
      </c>
      <c r="F265" s="1" t="s">
        <v>45</v>
      </c>
      <c r="G265" s="1" t="s">
        <v>57</v>
      </c>
      <c r="H265" s="1" t="s">
        <v>6</v>
      </c>
      <c r="I265" s="1" t="s">
        <v>2</v>
      </c>
      <c r="J265" s="1" t="s">
        <v>7</v>
      </c>
      <c r="K265" s="1" t="s">
        <v>31</v>
      </c>
      <c r="L265" s="1" t="s">
        <v>8</v>
      </c>
      <c r="M265" s="1" t="s">
        <v>34</v>
      </c>
      <c r="N265" s="1" t="s">
        <v>35</v>
      </c>
      <c r="O265" s="1" t="s">
        <v>37</v>
      </c>
      <c r="P265" s="1" t="s">
        <v>93</v>
      </c>
      <c r="Q265" s="1" t="s">
        <v>94</v>
      </c>
      <c r="R265" s="11" t="s">
        <v>39</v>
      </c>
      <c r="S265" s="2" t="s">
        <v>43</v>
      </c>
      <c r="T265" s="2" t="s">
        <v>2</v>
      </c>
      <c r="U265" s="76" t="s">
        <v>7</v>
      </c>
      <c r="V265" s="2" t="str">
        <f>+V4</f>
        <v>energia €/h</v>
      </c>
      <c r="W265" s="2" t="str">
        <f t="shared" ref="W265:AB265" si="267">+W4</f>
        <v>materiale €/Kg</v>
      </c>
      <c r="X265" s="2" t="str">
        <f t="shared" si="267"/>
        <v>mod</v>
      </c>
      <c r="Y265" s="2" t="str">
        <f t="shared" si="267"/>
        <v>ammort</v>
      </c>
      <c r="Z265" s="2" t="str">
        <f t="shared" si="267"/>
        <v>Accensione</v>
      </c>
      <c r="AA265" s="2" t="str">
        <f t="shared" si="267"/>
        <v>trasporto</v>
      </c>
      <c r="AB265" s="2" t="str">
        <f t="shared" si="267"/>
        <v>forniture</v>
      </c>
      <c r="AC265" s="80" t="s">
        <v>42</v>
      </c>
      <c r="AD265" s="53" t="s">
        <v>116</v>
      </c>
      <c r="AE265" s="1" t="s">
        <v>117</v>
      </c>
      <c r="AF265" s="1" t="s">
        <v>119</v>
      </c>
      <c r="AG265" s="1" t="s">
        <v>120</v>
      </c>
      <c r="AH265" s="1" t="s">
        <v>121</v>
      </c>
    </row>
    <row r="266" spans="1:35" ht="14.4" customHeight="1" x14ac:dyDescent="0.3">
      <c r="A266" s="222" t="s">
        <v>420</v>
      </c>
      <c r="B266" s="4" t="str">
        <f>+B237</f>
        <v>OSTELLIERE</v>
      </c>
      <c r="C266" s="4" t="str">
        <f>+C237</f>
        <v>Tavolo twist Logo</v>
      </c>
      <c r="D266" s="5">
        <f>+D237</f>
        <v>8</v>
      </c>
      <c r="E266" s="5">
        <f>+E237</f>
        <v>10</v>
      </c>
      <c r="F266" s="5">
        <f>+F237</f>
        <v>1.22</v>
      </c>
      <c r="G266" s="5">
        <f t="shared" ref="G266:J266" si="268">+G237</f>
        <v>82</v>
      </c>
      <c r="H266" s="4">
        <f t="shared" si="268"/>
        <v>7.9769999999999997E-3</v>
      </c>
      <c r="I266" s="6">
        <f t="shared" si="268"/>
        <v>22.158333333333331</v>
      </c>
      <c r="J266" s="6">
        <f t="shared" si="268"/>
        <v>19.942499999999999</v>
      </c>
      <c r="R266" s="5">
        <f>+'Project Ostelliere'!R149</f>
        <v>2</v>
      </c>
      <c r="S266" s="6">
        <f>+'Project Ostelliere'!S149</f>
        <v>164</v>
      </c>
      <c r="T266" s="6">
        <f>+'Project Ostelliere'!T149</f>
        <v>44.316666666666663</v>
      </c>
      <c r="U266" s="6">
        <f>+'Project Ostelliere'!U149</f>
        <v>39.884999999999998</v>
      </c>
      <c r="V266" s="81">
        <f>+'Project Ostelliere'!V149</f>
        <v>1.3877874050026131</v>
      </c>
      <c r="W266" s="82">
        <f>+'Project Ostelliere'!W149</f>
        <v>0.27077926499999999</v>
      </c>
      <c r="X266" s="82">
        <f>+'Project Ostelliere'!X149</f>
        <v>25.830000000000005</v>
      </c>
      <c r="Y266" s="82">
        <f>+'Project Ostelliere'!Y149</f>
        <v>9.6563706563706564</v>
      </c>
      <c r="Z266" s="82">
        <f>+'Project Ostelliere'!Z149</f>
        <v>0.43552879096190478</v>
      </c>
      <c r="AA266" s="82">
        <f>+'Project Ostelliere'!AA149</f>
        <v>5.1372452905594805</v>
      </c>
      <c r="AB266" s="82">
        <f>+'Project Ostelliere'!AB149</f>
        <v>300</v>
      </c>
      <c r="AC266" s="83">
        <f>SUM(V266:AB266)</f>
        <v>342.71771140789463</v>
      </c>
      <c r="AD266" s="93">
        <f>+AC266/R266</f>
        <v>171.35885570394731</v>
      </c>
      <c r="AE266" s="93">
        <f>+AE237</f>
        <v>800</v>
      </c>
      <c r="AF266" s="90">
        <f>+AE266-AD266</f>
        <v>628.64114429605274</v>
      </c>
      <c r="AG266" s="91">
        <f>+AF266/AD266</f>
        <v>3.6685652557235873</v>
      </c>
      <c r="AH266" s="92">
        <f>+AE266*R266</f>
        <v>1600</v>
      </c>
    </row>
    <row r="267" spans="1:35" x14ac:dyDescent="0.3">
      <c r="A267" s="223"/>
      <c r="B267" s="4" t="str">
        <f t="shared" ref="B267:J267" si="269">+B238</f>
        <v>OSTELLIERE</v>
      </c>
      <c r="C267" s="4" t="str">
        <f t="shared" si="269"/>
        <v xml:space="preserve">Vaso bitorzolo curvo </v>
      </c>
      <c r="D267" s="5">
        <f t="shared" si="269"/>
        <v>4</v>
      </c>
      <c r="E267" s="5">
        <f t="shared" si="269"/>
        <v>2</v>
      </c>
      <c r="F267" s="5">
        <f t="shared" si="269"/>
        <v>5.21</v>
      </c>
      <c r="G267" s="5">
        <f t="shared" si="269"/>
        <v>321</v>
      </c>
      <c r="H267" s="4">
        <f t="shared" si="269"/>
        <v>6.0029599999999995E-4</v>
      </c>
      <c r="I267" s="6">
        <f t="shared" si="269"/>
        <v>1.6674888888888888</v>
      </c>
      <c r="J267" s="6">
        <f t="shared" si="269"/>
        <v>1.50074</v>
      </c>
      <c r="R267" s="5">
        <f>+'Project Ostelliere'!R150</f>
        <v>2</v>
      </c>
      <c r="S267" s="6">
        <f>+'Project Ostelliere'!S150</f>
        <v>642</v>
      </c>
      <c r="T267" s="6">
        <f>+'Project Ostelliere'!T150</f>
        <v>3.3349777777777776</v>
      </c>
      <c r="U267" s="6">
        <f>+'Project Ostelliere'!U150</f>
        <v>3.0014799999999999</v>
      </c>
      <c r="V267" s="81">
        <f>+'Project Ostelliere'!V150</f>
        <v>5.4326799634858398</v>
      </c>
      <c r="W267" s="82">
        <f>+'Project Ostelliere'!W150</f>
        <v>2.0377047719999999E-2</v>
      </c>
      <c r="X267" s="82">
        <f>+'Project Ostelliere'!X150</f>
        <v>101.11500000000002</v>
      </c>
      <c r="Y267" s="82">
        <f>+'Project Ostelliere'!Y150</f>
        <v>37.801158301158303</v>
      </c>
      <c r="Z267" s="82">
        <f>+'Project Ostelliere'!Z150</f>
        <v>1.7049358768142857</v>
      </c>
      <c r="AA267" s="82">
        <f>+'Project Ostelliere'!AA150</f>
        <v>0.38659493530671857</v>
      </c>
      <c r="AB267" s="82">
        <f>+'Project Ostelliere'!AB150</f>
        <v>0</v>
      </c>
      <c r="AC267" s="83">
        <f t="shared" ref="AC267:AC288" si="270">SUM(V267:AB267)</f>
        <v>146.46074612448518</v>
      </c>
      <c r="AD267" s="93">
        <f t="shared" ref="AD267:AD288" si="271">+AC267/R267</f>
        <v>73.230373062242592</v>
      </c>
      <c r="AE267" s="93">
        <f t="shared" ref="AE267:AE288" si="272">+AE238</f>
        <v>250</v>
      </c>
      <c r="AF267" s="90">
        <f t="shared" ref="AF267:AF288" si="273">+AE267-AD267</f>
        <v>176.76962693775741</v>
      </c>
      <c r="AG267" s="91">
        <f t="shared" ref="AG267:AG288" si="274">+AF267/AD267</f>
        <v>2.4138840148678611</v>
      </c>
      <c r="AH267" s="92">
        <f t="shared" ref="AH267:AH288" si="275">+AE267*R267</f>
        <v>500</v>
      </c>
    </row>
    <row r="268" spans="1:35" x14ac:dyDescent="0.3">
      <c r="A268" s="223"/>
      <c r="B268" s="4" t="str">
        <f t="shared" ref="B268:J268" si="276">+B239</f>
        <v>OSTELLIERE</v>
      </c>
      <c r="C268" s="4" t="str">
        <f t="shared" si="276"/>
        <v>Vaso bitorzolo twist</v>
      </c>
      <c r="D268" s="5">
        <f t="shared" si="276"/>
        <v>4</v>
      </c>
      <c r="E268" s="5">
        <f t="shared" si="276"/>
        <v>2</v>
      </c>
      <c r="F268" s="5">
        <f t="shared" si="276"/>
        <v>5.15</v>
      </c>
      <c r="G268" s="5">
        <f t="shared" si="276"/>
        <v>315</v>
      </c>
      <c r="H268" s="4">
        <f t="shared" si="276"/>
        <v>8.005105E-4</v>
      </c>
      <c r="I268" s="6">
        <f t="shared" si="276"/>
        <v>2.2236402777777777</v>
      </c>
      <c r="J268" s="6">
        <f t="shared" si="276"/>
        <v>2.0012762500000001</v>
      </c>
      <c r="R268" s="5">
        <f>+'Project Ostelliere'!R151</f>
        <v>2</v>
      </c>
      <c r="S268" s="6">
        <f>+'Project Ostelliere'!S151</f>
        <v>630</v>
      </c>
      <c r="T268" s="6">
        <f>+'Project Ostelliere'!T151</f>
        <v>4.4472805555555555</v>
      </c>
      <c r="U268" s="6">
        <f>+'Project Ostelliere'!U151</f>
        <v>4.0025525000000002</v>
      </c>
      <c r="V268" s="81">
        <f>+'Project Ostelliere'!V151</f>
        <v>5.3311345436076003</v>
      </c>
      <c r="W268" s="82">
        <f>+'Project Ostelliere'!W151</f>
        <v>2.71733289225E-2</v>
      </c>
      <c r="X268" s="82">
        <f>+'Project Ostelliere'!X151</f>
        <v>99.225000000000023</v>
      </c>
      <c r="Y268" s="82">
        <f>+'Project Ostelliere'!Y151</f>
        <v>37.094594594594597</v>
      </c>
      <c r="Z268" s="82">
        <f>+'Project Ostelliere'!Z151</f>
        <v>1.6730679165000002</v>
      </c>
      <c r="AA268" s="82">
        <f>+'Project Ostelliere'!AA151</f>
        <v>0.51553451124086935</v>
      </c>
      <c r="AB268" s="82">
        <f>+'Project Ostelliere'!AB151</f>
        <v>0</v>
      </c>
      <c r="AC268" s="83">
        <f t="shared" si="270"/>
        <v>143.86650489486561</v>
      </c>
      <c r="AD268" s="93">
        <f t="shared" si="271"/>
        <v>71.933252447432807</v>
      </c>
      <c r="AE268" s="93">
        <f t="shared" si="272"/>
        <v>250</v>
      </c>
      <c r="AF268" s="90">
        <f t="shared" si="273"/>
        <v>178.06674755256719</v>
      </c>
      <c r="AG268" s="91">
        <f t="shared" si="274"/>
        <v>2.475444130413738</v>
      </c>
      <c r="AH268" s="92">
        <f t="shared" si="275"/>
        <v>500</v>
      </c>
    </row>
    <row r="269" spans="1:35" x14ac:dyDescent="0.3">
      <c r="A269" s="223"/>
      <c r="B269" s="4" t="str">
        <f t="shared" ref="B269:J269" si="277">+B240</f>
        <v>OSTELLIERE</v>
      </c>
      <c r="C269" s="4" t="str">
        <f t="shared" si="277"/>
        <v>Vaso bitorzolo dritto</v>
      </c>
      <c r="D269" s="5">
        <f t="shared" si="277"/>
        <v>4</v>
      </c>
      <c r="E269" s="5">
        <f t="shared" si="277"/>
        <v>2</v>
      </c>
      <c r="F269" s="5">
        <f t="shared" si="277"/>
        <v>4.4800000000000004</v>
      </c>
      <c r="G269" s="5">
        <f t="shared" si="277"/>
        <v>288</v>
      </c>
      <c r="H269" s="4">
        <f t="shared" si="277"/>
        <v>8.2321687099999998E-4</v>
      </c>
      <c r="I269" s="6">
        <f t="shared" si="277"/>
        <v>2.2867135305555553</v>
      </c>
      <c r="J269" s="6">
        <f t="shared" si="277"/>
        <v>2.0580421775</v>
      </c>
      <c r="R269" s="5">
        <f>+'Project Ostelliere'!R152</f>
        <v>2</v>
      </c>
      <c r="S269" s="6">
        <f>+'Project Ostelliere'!S152</f>
        <v>576</v>
      </c>
      <c r="T269" s="6">
        <f>+'Project Ostelliere'!T152</f>
        <v>4.5734270611111105</v>
      </c>
      <c r="U269" s="6">
        <f>+'Project Ostelliere'!U152</f>
        <v>4.1160843549999999</v>
      </c>
      <c r="V269" s="81">
        <f>+'Project Ostelliere'!V152</f>
        <v>4.8741801541555203</v>
      </c>
      <c r="W269" s="82">
        <f>+'Project Ostelliere'!W152</f>
        <v>2.7944096686094998E-2</v>
      </c>
      <c r="X269" s="82">
        <f>+'Project Ostelliere'!X152</f>
        <v>90.720000000000013</v>
      </c>
      <c r="Y269" s="82">
        <f>+'Project Ostelliere'!Y152</f>
        <v>33.915057915057915</v>
      </c>
      <c r="Z269" s="82">
        <f>+'Project Ostelliere'!Z152</f>
        <v>1.5296620950857143</v>
      </c>
      <c r="AA269" s="82">
        <f>+'Project Ostelliere'!AA152</f>
        <v>0.53015757724130141</v>
      </c>
      <c r="AB269" s="82">
        <f>+'Project Ostelliere'!AB152</f>
        <v>0</v>
      </c>
      <c r="AC269" s="83">
        <f t="shared" si="270"/>
        <v>131.59700183822656</v>
      </c>
      <c r="AD269" s="93">
        <f t="shared" si="271"/>
        <v>65.79850091911328</v>
      </c>
      <c r="AE269" s="93">
        <f t="shared" si="272"/>
        <v>250</v>
      </c>
      <c r="AF269" s="90">
        <f t="shared" si="273"/>
        <v>184.20149908088672</v>
      </c>
      <c r="AG269" s="91">
        <f t="shared" si="274"/>
        <v>2.7994786584473612</v>
      </c>
      <c r="AH269" s="92">
        <f t="shared" si="275"/>
        <v>500</v>
      </c>
    </row>
    <row r="270" spans="1:35" x14ac:dyDescent="0.3">
      <c r="A270" s="223"/>
      <c r="B270" s="4" t="str">
        <f t="shared" ref="B270:J270" si="278">+B241</f>
        <v>OSTELLIERE</v>
      </c>
      <c r="C270" s="4" t="str">
        <f t="shared" si="278"/>
        <v>Porta riviste</v>
      </c>
      <c r="D270" s="5">
        <f t="shared" si="278"/>
        <v>10</v>
      </c>
      <c r="E270" s="5">
        <f t="shared" si="278"/>
        <v>10</v>
      </c>
      <c r="F270" s="5">
        <f t="shared" si="278"/>
        <v>0.42</v>
      </c>
      <c r="G270" s="5">
        <f t="shared" si="278"/>
        <v>42</v>
      </c>
      <c r="H270" s="4">
        <f t="shared" si="278"/>
        <v>3.5606798E-3</v>
      </c>
      <c r="I270" s="6">
        <f t="shared" si="278"/>
        <v>9.890777222222221</v>
      </c>
      <c r="J270" s="6">
        <f t="shared" si="278"/>
        <v>8.9016994999999994</v>
      </c>
      <c r="R270" s="5">
        <f>+'Project Ostelliere'!R153</f>
        <v>2</v>
      </c>
      <c r="S270" s="6">
        <f>+'Project Ostelliere'!S153</f>
        <v>84</v>
      </c>
      <c r="T270" s="6">
        <f>+'Project Ostelliere'!T153</f>
        <v>19.781554444444442</v>
      </c>
      <c r="U270" s="6">
        <f>+'Project Ostelliere'!U153</f>
        <v>17.803398999999999</v>
      </c>
      <c r="V270" s="81">
        <f>+'Project Ostelliere'!V153</f>
        <v>0.71081793914767988</v>
      </c>
      <c r="W270" s="82">
        <f>+'Project Ostelliere'!W153</f>
        <v>0.12086727581099999</v>
      </c>
      <c r="X270" s="82">
        <f>+'Project Ostelliere'!X153</f>
        <v>13.230000000000002</v>
      </c>
      <c r="Y270" s="82">
        <f>+'Project Ostelliere'!Y153</f>
        <v>4.9459459459459456</v>
      </c>
      <c r="Z270" s="82">
        <f>+'Project Ostelliere'!Z153</f>
        <v>0.22307572219999999</v>
      </c>
      <c r="AA270" s="82">
        <f>+'Project Ostelliere'!AA153</f>
        <v>2.2931033638887142</v>
      </c>
      <c r="AB270" s="82">
        <f>+'Project Ostelliere'!AB153</f>
        <v>0</v>
      </c>
      <c r="AC270" s="83">
        <f t="shared" si="270"/>
        <v>21.523810246993346</v>
      </c>
      <c r="AD270" s="93">
        <f t="shared" si="271"/>
        <v>10.761905123496673</v>
      </c>
      <c r="AE270" s="93">
        <f t="shared" si="272"/>
        <v>130</v>
      </c>
      <c r="AF270" s="90">
        <f t="shared" si="273"/>
        <v>119.23809487650333</v>
      </c>
      <c r="AG270" s="91">
        <f t="shared" si="274"/>
        <v>11.079645611832103</v>
      </c>
      <c r="AH270" s="92">
        <f t="shared" si="275"/>
        <v>260</v>
      </c>
    </row>
    <row r="271" spans="1:35" x14ac:dyDescent="0.3">
      <c r="A271" s="223"/>
      <c r="B271" s="4" t="str">
        <f t="shared" ref="B271:J271" si="279">+B242</f>
        <v>OSTELLIERE</v>
      </c>
      <c r="C271" s="4" t="str">
        <f t="shared" si="279"/>
        <v>Lampada 90 grossa</v>
      </c>
      <c r="D271" s="5">
        <f t="shared" si="279"/>
        <v>8</v>
      </c>
      <c r="E271" s="5">
        <f t="shared" si="279"/>
        <v>10</v>
      </c>
      <c r="F271" s="5">
        <f t="shared" si="279"/>
        <v>1.39</v>
      </c>
      <c r="G271" s="5">
        <f t="shared" si="279"/>
        <v>99</v>
      </c>
      <c r="H271" s="4">
        <f t="shared" si="279"/>
        <v>1.7366300000000001E-3</v>
      </c>
      <c r="I271" s="6">
        <f t="shared" si="279"/>
        <v>4.8239722222222232</v>
      </c>
      <c r="J271" s="6">
        <f t="shared" si="279"/>
        <v>4.3415750000000006</v>
      </c>
      <c r="R271" s="5">
        <f>+'Project Ostelliere'!R154</f>
        <v>1</v>
      </c>
      <c r="S271" s="6">
        <f>+'Project Ostelliere'!S154</f>
        <v>99</v>
      </c>
      <c r="T271" s="6">
        <f>+'Project Ostelliere'!T154</f>
        <v>4.8239722222222232</v>
      </c>
      <c r="U271" s="6">
        <f>+'Project Ostelliere'!U154</f>
        <v>4.3415750000000006</v>
      </c>
      <c r="V271" s="81">
        <f>+'Project Ostelliere'!V154</f>
        <v>0.83774971399547993</v>
      </c>
      <c r="W271" s="82">
        <f>+'Project Ostelliere'!W154</f>
        <v>2.9474952675000003E-2</v>
      </c>
      <c r="X271" s="82">
        <f>+'Project Ostelliere'!X154</f>
        <v>15.592500000000003</v>
      </c>
      <c r="Y271" s="82">
        <f>+'Project Ostelliere'!Y154</f>
        <v>5.8291505791505793</v>
      </c>
      <c r="Z271" s="82">
        <f>+'Project Ostelliere'!Z154</f>
        <v>0.26291067259285716</v>
      </c>
      <c r="AA271" s="82">
        <f>+'Project Ostelliere'!AA154</f>
        <v>0.55920109621062508</v>
      </c>
      <c r="AB271" s="82">
        <f>+'Project Ostelliere'!AB154</f>
        <v>24</v>
      </c>
      <c r="AC271" s="83">
        <f t="shared" si="270"/>
        <v>47.110987014624541</v>
      </c>
      <c r="AD271" s="93">
        <f t="shared" si="271"/>
        <v>47.110987014624541</v>
      </c>
      <c r="AE271" s="93">
        <f t="shared" si="272"/>
        <v>400</v>
      </c>
      <c r="AF271" s="90">
        <f t="shared" si="273"/>
        <v>352.88901298537547</v>
      </c>
      <c r="AG271" s="91">
        <f t="shared" si="274"/>
        <v>7.4905884029945931</v>
      </c>
      <c r="AH271" s="92">
        <f t="shared" si="275"/>
        <v>400</v>
      </c>
    </row>
    <row r="272" spans="1:35" x14ac:dyDescent="0.3">
      <c r="A272" s="223"/>
      <c r="B272" s="4" t="str">
        <f t="shared" ref="B272:J272" si="280">+B243</f>
        <v>OSTELLIERE</v>
      </c>
      <c r="C272" s="4" t="str">
        <f t="shared" si="280"/>
        <v>Lampada 90 piccola</v>
      </c>
      <c r="D272" s="5">
        <f t="shared" si="280"/>
        <v>5</v>
      </c>
      <c r="E272" s="5">
        <f t="shared" si="280"/>
        <v>10</v>
      </c>
      <c r="F272" s="5">
        <f t="shared" si="280"/>
        <v>1.1499999999999999</v>
      </c>
      <c r="G272" s="5">
        <f t="shared" si="280"/>
        <v>75</v>
      </c>
      <c r="H272" s="4">
        <f t="shared" si="280"/>
        <v>8.1557296000000004E-4</v>
      </c>
      <c r="I272" s="6">
        <f t="shared" si="280"/>
        <v>2.2654804444444445</v>
      </c>
      <c r="J272" s="6">
        <f t="shared" si="280"/>
        <v>2.0389324000000002</v>
      </c>
      <c r="R272" s="5">
        <f>+'Project Ostelliere'!R155</f>
        <v>6</v>
      </c>
      <c r="S272" s="6">
        <f>+'Project Ostelliere'!S155</f>
        <v>450</v>
      </c>
      <c r="T272" s="6">
        <f>+'Project Ostelliere'!T155</f>
        <v>13.592882666666668</v>
      </c>
      <c r="U272" s="6">
        <f>+'Project Ostelliere'!U155</f>
        <v>12.233594400000001</v>
      </c>
      <c r="V272" s="81">
        <f>+'Project Ostelliere'!V155</f>
        <v>3.8079532454339997</v>
      </c>
      <c r="W272" s="82">
        <f>+'Project Ostelliere'!W155</f>
        <v>8.3053872381600002E-2</v>
      </c>
      <c r="X272" s="82">
        <f>+'Project Ostelliere'!X155</f>
        <v>70.875000000000014</v>
      </c>
      <c r="Y272" s="82">
        <f>+'Project Ostelliere'!Y155</f>
        <v>26.496138996138995</v>
      </c>
      <c r="Z272" s="82">
        <f>+'Project Ostelliere'!Z155</f>
        <v>1.1950485117857144</v>
      </c>
      <c r="AA272" s="82">
        <f>+'Project Ostelliere'!AA155</f>
        <v>1.5757045309769298</v>
      </c>
      <c r="AB272" s="82">
        <f>+'Project Ostelliere'!AB155</f>
        <v>144</v>
      </c>
      <c r="AC272" s="83">
        <f t="shared" si="270"/>
        <v>248.03289915671726</v>
      </c>
      <c r="AD272" s="93">
        <f t="shared" si="271"/>
        <v>41.338816526119544</v>
      </c>
      <c r="AE272" s="93">
        <f t="shared" si="272"/>
        <v>200</v>
      </c>
      <c r="AF272" s="90">
        <f t="shared" si="273"/>
        <v>158.66118347388044</v>
      </c>
      <c r="AG272" s="91">
        <f t="shared" si="274"/>
        <v>3.8380678695441572</v>
      </c>
      <c r="AH272" s="92">
        <f t="shared" si="275"/>
        <v>1200</v>
      </c>
    </row>
    <row r="273" spans="1:34" x14ac:dyDescent="0.3">
      <c r="A273" s="223"/>
      <c r="B273" s="4" t="str">
        <f t="shared" ref="B273:J273" si="281">+B244</f>
        <v>OSTELLIERE</v>
      </c>
      <c r="C273" s="4" t="str">
        <f t="shared" si="281"/>
        <v>Vaso Logo</v>
      </c>
      <c r="D273" s="5">
        <f t="shared" si="281"/>
        <v>5</v>
      </c>
      <c r="E273" s="5">
        <f t="shared" si="281"/>
        <v>10</v>
      </c>
      <c r="F273" s="5">
        <f t="shared" si="281"/>
        <v>0.39</v>
      </c>
      <c r="G273" s="5">
        <f t="shared" si="281"/>
        <v>39</v>
      </c>
      <c r="H273" s="4">
        <f t="shared" si="281"/>
        <v>1.1639584900000001E-3</v>
      </c>
      <c r="I273" s="6">
        <f t="shared" si="281"/>
        <v>3.2332180277777778</v>
      </c>
      <c r="J273" s="6">
        <f t="shared" si="281"/>
        <v>2.9098962250000002</v>
      </c>
      <c r="R273" s="5">
        <f>+'Project Ostelliere'!R156</f>
        <v>3</v>
      </c>
      <c r="S273" s="6">
        <f>+'Project Ostelliere'!S156</f>
        <v>117</v>
      </c>
      <c r="T273" s="6">
        <f>+'Project Ostelliere'!T156</f>
        <v>9.6996540833333338</v>
      </c>
      <c r="U273" s="6">
        <f>+'Project Ostelliere'!U156</f>
        <v>8.7296886750000002</v>
      </c>
      <c r="V273" s="81">
        <f>+'Project Ostelliere'!V156</f>
        <v>0.99006784381283996</v>
      </c>
      <c r="W273" s="82">
        <f>+'Project Ostelliere'!W156</f>
        <v>5.9265856414574998E-2</v>
      </c>
      <c r="X273" s="82">
        <f>+'Project Ostelliere'!X156</f>
        <v>18.427500000000002</v>
      </c>
      <c r="Y273" s="82">
        <f>+'Project Ostelliere'!Y156</f>
        <v>6.8889961389961387</v>
      </c>
      <c r="Z273" s="82">
        <f>+'Project Ostelliere'!Z156</f>
        <v>0.31071261306428571</v>
      </c>
      <c r="AA273" s="82">
        <f>+'Project Ostelliere'!AA156</f>
        <v>1.1243964406091058</v>
      </c>
      <c r="AB273" s="82">
        <f>+'Project Ostelliere'!AB156</f>
        <v>0</v>
      </c>
      <c r="AC273" s="83">
        <f t="shared" si="270"/>
        <v>27.800938892896948</v>
      </c>
      <c r="AD273" s="93">
        <f t="shared" si="271"/>
        <v>9.2669796309656487</v>
      </c>
      <c r="AE273" s="93">
        <f t="shared" si="272"/>
        <v>310</v>
      </c>
      <c r="AF273" s="90">
        <f t="shared" si="273"/>
        <v>300.73302036903436</v>
      </c>
      <c r="AG273" s="91">
        <f t="shared" si="274"/>
        <v>32.452107627833108</v>
      </c>
      <c r="AH273" s="92">
        <f t="shared" si="275"/>
        <v>930</v>
      </c>
    </row>
    <row r="274" spans="1:34" x14ac:dyDescent="0.3">
      <c r="A274" s="223"/>
      <c r="B274" s="4" t="str">
        <f t="shared" ref="B274:J274" si="282">+B245</f>
        <v>OSTELLIERE</v>
      </c>
      <c r="C274" s="4" t="str">
        <f t="shared" si="282"/>
        <v>Copri candela</v>
      </c>
      <c r="D274" s="5">
        <f t="shared" si="282"/>
        <v>4</v>
      </c>
      <c r="E274" s="5">
        <f t="shared" si="282"/>
        <v>5</v>
      </c>
      <c r="F274" s="5">
        <f t="shared" si="282"/>
        <v>0.34</v>
      </c>
      <c r="G274" s="5">
        <f t="shared" si="282"/>
        <v>34</v>
      </c>
      <c r="H274" s="4">
        <f t="shared" si="282"/>
        <v>2.3780405299999999E-4</v>
      </c>
      <c r="I274" s="6">
        <f t="shared" si="282"/>
        <v>0.66056681388888883</v>
      </c>
      <c r="J274" s="6">
        <f t="shared" si="282"/>
        <v>0.59451013249999995</v>
      </c>
      <c r="R274" s="5">
        <f>+'Project Ostelliere'!R157</f>
        <v>15</v>
      </c>
      <c r="S274" s="6">
        <f>+'Project Ostelliere'!S157</f>
        <v>510</v>
      </c>
      <c r="T274" s="6">
        <f>+'Project Ostelliere'!T157</f>
        <v>9.9085022083333332</v>
      </c>
      <c r="U274" s="6">
        <f>+'Project Ostelliere'!U157</f>
        <v>8.9176519874999993</v>
      </c>
      <c r="V274" s="81">
        <f>+'Project Ostelliere'!V157</f>
        <v>4.3156803448251999</v>
      </c>
      <c r="W274" s="82">
        <f>+'Project Ostelliere'!W157</f>
        <v>6.0541939343137494E-2</v>
      </c>
      <c r="X274" s="82">
        <f>+'Project Ostelliere'!X157</f>
        <v>80.325000000000017</v>
      </c>
      <c r="Y274" s="82">
        <f>+'Project Ostelliere'!Y157</f>
        <v>30.02895752895753</v>
      </c>
      <c r="Z274" s="82">
        <f>+'Project Ostelliere'!Z157</f>
        <v>1.3543883133571428</v>
      </c>
      <c r="AA274" s="82">
        <f>+'Project Ostelliere'!AA157</f>
        <v>1.1486063852484083</v>
      </c>
      <c r="AB274" s="82">
        <f>+'Project Ostelliere'!AB157</f>
        <v>0</v>
      </c>
      <c r="AC274" s="83">
        <f t="shared" si="270"/>
        <v>117.23317451173145</v>
      </c>
      <c r="AD274" s="93">
        <f t="shared" si="271"/>
        <v>7.8155449674487629</v>
      </c>
      <c r="AE274" s="93">
        <f t="shared" si="272"/>
        <v>20</v>
      </c>
      <c r="AF274" s="90">
        <f t="shared" si="273"/>
        <v>12.184455032551238</v>
      </c>
      <c r="AG274" s="91">
        <f t="shared" si="274"/>
        <v>1.5590026138034778</v>
      </c>
      <c r="AH274" s="92">
        <f t="shared" si="275"/>
        <v>300</v>
      </c>
    </row>
    <row r="275" spans="1:34" x14ac:dyDescent="0.3">
      <c r="A275" s="223"/>
      <c r="B275" s="4" t="str">
        <f t="shared" ref="B275:J275" si="283">+B246</f>
        <v>OSTELLIERE</v>
      </c>
      <c r="C275" s="4" t="str">
        <f t="shared" si="283"/>
        <v xml:space="preserve">Vaso Grosso </v>
      </c>
      <c r="D275" s="5">
        <f t="shared" si="283"/>
        <v>4</v>
      </c>
      <c r="E275" s="5">
        <f t="shared" si="283"/>
        <v>5</v>
      </c>
      <c r="F275" s="5">
        <f t="shared" si="283"/>
        <v>1.31</v>
      </c>
      <c r="G275" s="5">
        <f t="shared" si="283"/>
        <v>91</v>
      </c>
      <c r="H275" s="4">
        <f t="shared" si="283"/>
        <v>9.52764444E-4</v>
      </c>
      <c r="I275" s="6">
        <f t="shared" si="283"/>
        <v>2.6465679</v>
      </c>
      <c r="J275" s="6">
        <f t="shared" si="283"/>
        <v>2.3819111099999999</v>
      </c>
      <c r="R275" s="5">
        <f>+'Project Ostelliere'!R158</f>
        <v>2</v>
      </c>
      <c r="S275" s="6">
        <f>+'Project Ostelliere'!S158</f>
        <v>182</v>
      </c>
      <c r="T275" s="6">
        <f>+'Project Ostelliere'!T158</f>
        <v>5.2931357999999999</v>
      </c>
      <c r="U275" s="6">
        <f>+'Project Ostelliere'!U158</f>
        <v>4.7638222199999998</v>
      </c>
      <c r="V275" s="81">
        <f>+'Project Ostelliere'!V158</f>
        <v>1.5401055348199733</v>
      </c>
      <c r="W275" s="82">
        <f>+'Project Ostelliere'!W158</f>
        <v>3.2341589051580001E-2</v>
      </c>
      <c r="X275" s="82">
        <f>+'Project Ostelliere'!X158</f>
        <v>28.665000000000006</v>
      </c>
      <c r="Y275" s="82">
        <f>+'Project Ostelliere'!Y158</f>
        <v>10.716216216216216</v>
      </c>
      <c r="Z275" s="82">
        <f>+'Project Ostelliere'!Z158</f>
        <v>0.48333073143333333</v>
      </c>
      <c r="AA275" s="82">
        <f>+'Project Ostelliere'!AA158</f>
        <v>0.61358714465983732</v>
      </c>
      <c r="AB275" s="82">
        <f>+'Project Ostelliere'!AB158</f>
        <v>0</v>
      </c>
      <c r="AC275" s="83">
        <f t="shared" si="270"/>
        <v>42.050581216180944</v>
      </c>
      <c r="AD275" s="93">
        <f t="shared" si="271"/>
        <v>21.025290608090472</v>
      </c>
      <c r="AE275" s="93">
        <f t="shared" si="272"/>
        <v>200</v>
      </c>
      <c r="AF275" s="90">
        <f t="shared" si="273"/>
        <v>178.97470939190953</v>
      </c>
      <c r="AG275" s="91">
        <f t="shared" si="274"/>
        <v>8.5123536567452049</v>
      </c>
      <c r="AH275" s="92">
        <f t="shared" si="275"/>
        <v>400</v>
      </c>
    </row>
    <row r="276" spans="1:34" x14ac:dyDescent="0.3">
      <c r="A276" s="223"/>
      <c r="B276" s="4" t="str">
        <f t="shared" ref="B276:J276" si="284">+B247</f>
        <v>ORTO</v>
      </c>
      <c r="C276" s="4" t="str">
        <f t="shared" si="284"/>
        <v>Bicchiere curve dritto</v>
      </c>
      <c r="D276" s="5">
        <f t="shared" si="284"/>
        <v>2</v>
      </c>
      <c r="E276" s="5">
        <f t="shared" si="284"/>
        <v>2</v>
      </c>
      <c r="F276" s="5">
        <f t="shared" si="284"/>
        <v>0.26</v>
      </c>
      <c r="G276" s="5">
        <f t="shared" si="284"/>
        <v>26</v>
      </c>
      <c r="H276" s="4">
        <f t="shared" si="284"/>
        <v>1.6928511099999999E-4</v>
      </c>
      <c r="I276" s="6">
        <f t="shared" si="284"/>
        <v>0.47023641944444439</v>
      </c>
      <c r="J276" s="6">
        <f t="shared" si="284"/>
        <v>0.42321277749999997</v>
      </c>
      <c r="R276" s="5">
        <f>+'Project Orto'!R158</f>
        <v>12</v>
      </c>
      <c r="S276" s="6">
        <f>+'Project Orto'!S158</f>
        <v>312</v>
      </c>
      <c r="T276" s="6">
        <f>+'Project Orto'!T158</f>
        <v>5.6428370333333326</v>
      </c>
      <c r="U276" s="6">
        <f>+'Project Orto'!U158</f>
        <v>5.0785533300000001</v>
      </c>
      <c r="V276" s="81">
        <f>+'Project Orto'!V158</f>
        <v>2.6401809168342401</v>
      </c>
      <c r="W276" s="82">
        <f>+'Project Orto'!W158</f>
        <v>3.4478298557370002E-2</v>
      </c>
      <c r="X276" s="82">
        <f>+'Project Orto'!X158</f>
        <v>49.140000000000008</v>
      </c>
      <c r="Y276" s="82">
        <f>+'Project Orto'!Y158</f>
        <v>18.37065637065637</v>
      </c>
      <c r="Z276" s="82">
        <f>+'Project Orto'!Z158</f>
        <v>0.82856696817142861</v>
      </c>
      <c r="AA276" s="82">
        <f>+'Project Orto'!AA158</f>
        <v>0.65412496370559525</v>
      </c>
      <c r="AB276" s="82">
        <f>+'Project Orto'!AB158</f>
        <v>0</v>
      </c>
      <c r="AC276" s="83">
        <f t="shared" si="270"/>
        <v>71.668007517925005</v>
      </c>
      <c r="AD276" s="93">
        <f t="shared" si="271"/>
        <v>5.9723339598270835</v>
      </c>
      <c r="AE276" s="93">
        <f t="shared" si="272"/>
        <v>15</v>
      </c>
      <c r="AF276" s="90">
        <f t="shared" si="273"/>
        <v>9.0276660401729174</v>
      </c>
      <c r="AG276" s="91">
        <f t="shared" si="274"/>
        <v>1.5115809164218765</v>
      </c>
      <c r="AH276" s="92">
        <f t="shared" si="275"/>
        <v>180</v>
      </c>
    </row>
    <row r="277" spans="1:34" x14ac:dyDescent="0.3">
      <c r="A277" s="223"/>
      <c r="B277" s="4" t="str">
        <f t="shared" ref="B277:J277" si="285">+B248</f>
        <v>ORTO</v>
      </c>
      <c r="C277" s="4" t="str">
        <f t="shared" si="285"/>
        <v>Bicchiere curve twist</v>
      </c>
      <c r="D277" s="5">
        <f t="shared" si="285"/>
        <v>2</v>
      </c>
      <c r="E277" s="5">
        <f t="shared" si="285"/>
        <v>2</v>
      </c>
      <c r="F277" s="5">
        <f t="shared" si="285"/>
        <v>0.25</v>
      </c>
      <c r="G277" s="5">
        <f t="shared" si="285"/>
        <v>25</v>
      </c>
      <c r="H277" s="4">
        <f t="shared" si="285"/>
        <v>1.69285896E-4</v>
      </c>
      <c r="I277" s="6">
        <f t="shared" si="285"/>
        <v>0.47023859999999995</v>
      </c>
      <c r="J277" s="6">
        <f t="shared" si="285"/>
        <v>0.42321473999999998</v>
      </c>
      <c r="R277" s="5">
        <f>+'Project Orto'!R159</f>
        <v>12</v>
      </c>
      <c r="S277" s="6">
        <f>+'Project Orto'!S159</f>
        <v>300</v>
      </c>
      <c r="T277" s="6">
        <f>+'Project Orto'!T159</f>
        <v>5.642863199999999</v>
      </c>
      <c r="U277" s="6">
        <f>+'Project Orto'!U159</f>
        <v>5.07857688</v>
      </c>
      <c r="V277" s="81">
        <f>+'Project Orto'!V159</f>
        <v>2.5386354969559997</v>
      </c>
      <c r="W277" s="82">
        <f>+'Project Orto'!W159</f>
        <v>3.4478458438320002E-2</v>
      </c>
      <c r="X277" s="82">
        <f>+'Project Orto'!X159</f>
        <v>47.250000000000007</v>
      </c>
      <c r="Y277" s="82">
        <f>+'Project Orto'!Y159</f>
        <v>17.664092664092664</v>
      </c>
      <c r="Z277" s="82">
        <f>+'Project Orto'!Z159</f>
        <v>0.79669900785714287</v>
      </c>
      <c r="AA277" s="82">
        <f>+'Project Orto'!AA159</f>
        <v>0.65412799697942225</v>
      </c>
      <c r="AB277" s="82">
        <f>+'Project Orto'!AB159</f>
        <v>0</v>
      </c>
      <c r="AC277" s="83">
        <f t="shared" si="270"/>
        <v>68.938033624323552</v>
      </c>
      <c r="AD277" s="93">
        <f t="shared" si="271"/>
        <v>5.7448361353602957</v>
      </c>
      <c r="AE277" s="93">
        <f t="shared" si="272"/>
        <v>15</v>
      </c>
      <c r="AF277" s="90">
        <f t="shared" si="273"/>
        <v>9.2551638646397052</v>
      </c>
      <c r="AG277" s="91">
        <f t="shared" si="274"/>
        <v>1.6110405321524901</v>
      </c>
      <c r="AH277" s="92">
        <f t="shared" si="275"/>
        <v>180</v>
      </c>
    </row>
    <row r="278" spans="1:34" x14ac:dyDescent="0.3">
      <c r="A278" s="223"/>
      <c r="B278" s="4" t="str">
        <f t="shared" ref="B278:J278" si="286">+B249</f>
        <v>ORTO</v>
      </c>
      <c r="C278" s="4" t="str">
        <f t="shared" si="286"/>
        <v>Caraffa curva</v>
      </c>
      <c r="D278" s="5">
        <f t="shared" si="286"/>
        <v>2</v>
      </c>
      <c r="E278" s="5">
        <f t="shared" si="286"/>
        <v>2</v>
      </c>
      <c r="F278" s="5">
        <f t="shared" si="286"/>
        <v>0.56999999999999995</v>
      </c>
      <c r="G278" s="5">
        <f t="shared" si="286"/>
        <v>57</v>
      </c>
      <c r="H278" s="4">
        <f t="shared" si="286"/>
        <v>3.69342133E-4</v>
      </c>
      <c r="I278" s="6">
        <f t="shared" si="286"/>
        <v>1.0259503694444445</v>
      </c>
      <c r="J278" s="6">
        <f t="shared" si="286"/>
        <v>0.92335533250000001</v>
      </c>
      <c r="R278" s="5">
        <f>+'Project Orto'!R160</f>
        <v>2</v>
      </c>
      <c r="S278" s="6">
        <f>+'Project Orto'!S160</f>
        <v>114</v>
      </c>
      <c r="T278" s="6">
        <f>+'Project Orto'!T160</f>
        <v>2.051900738888889</v>
      </c>
      <c r="U278" s="6">
        <f>+'Project Orto'!U160</f>
        <v>1.846710665</v>
      </c>
      <c r="V278" s="81">
        <f>+'Project Orto'!V160</f>
        <v>0.96468148884327987</v>
      </c>
      <c r="W278" s="82">
        <f>+'Project Orto'!W160</f>
        <v>1.2537318704685E-2</v>
      </c>
      <c r="X278" s="82">
        <f>+'Project Orto'!X160</f>
        <v>17.955000000000002</v>
      </c>
      <c r="Y278" s="82">
        <f>+'Project Orto'!Y160</f>
        <v>6.7123552123552122</v>
      </c>
      <c r="Z278" s="82">
        <f>+'Project Orto'!Z160</f>
        <v>0.30274562298571428</v>
      </c>
      <c r="AA278" s="82">
        <f>+'Project Orto'!AA160</f>
        <v>0.23785898625541477</v>
      </c>
      <c r="AB278" s="82">
        <f>+'Project Orto'!AB160</f>
        <v>0</v>
      </c>
      <c r="AC278" s="83">
        <f t="shared" si="270"/>
        <v>26.185178629144307</v>
      </c>
      <c r="AD278" s="93">
        <f t="shared" si="271"/>
        <v>13.092589314572153</v>
      </c>
      <c r="AE278" s="93">
        <f t="shared" si="272"/>
        <v>30</v>
      </c>
      <c r="AF278" s="90">
        <f t="shared" si="273"/>
        <v>16.907410685427848</v>
      </c>
      <c r="AG278" s="91">
        <f t="shared" si="274"/>
        <v>1.2913725680381474</v>
      </c>
      <c r="AH278" s="92">
        <f t="shared" si="275"/>
        <v>60</v>
      </c>
    </row>
    <row r="279" spans="1:34" x14ac:dyDescent="0.3">
      <c r="A279" s="223"/>
      <c r="B279" s="4" t="str">
        <f t="shared" ref="B279:J279" si="287">+B250</f>
        <v>ORTO</v>
      </c>
      <c r="C279" s="4" t="str">
        <f t="shared" si="287"/>
        <v>Caraffa colonna dritta</v>
      </c>
      <c r="D279" s="5">
        <f t="shared" si="287"/>
        <v>2</v>
      </c>
      <c r="E279" s="5">
        <f t="shared" si="287"/>
        <v>1</v>
      </c>
      <c r="F279" s="5">
        <f t="shared" si="287"/>
        <v>1.4</v>
      </c>
      <c r="G279" s="5">
        <f t="shared" si="287"/>
        <v>100</v>
      </c>
      <c r="H279" s="4">
        <f t="shared" si="287"/>
        <v>3.2796365999999998E-4</v>
      </c>
      <c r="I279" s="6">
        <f t="shared" si="287"/>
        <v>0.91101016666666657</v>
      </c>
      <c r="J279" s="6">
        <f t="shared" si="287"/>
        <v>0.81990914999999998</v>
      </c>
      <c r="R279" s="5">
        <f>+'Project Orto'!R161</f>
        <v>2</v>
      </c>
      <c r="S279" s="6">
        <f>+'Project Orto'!S161</f>
        <v>200</v>
      </c>
      <c r="T279" s="6">
        <f>+'Project Orto'!T161</f>
        <v>1.8220203333333331</v>
      </c>
      <c r="U279" s="6">
        <f>+'Project Orto'!U161</f>
        <v>1.6398183</v>
      </c>
      <c r="V279" s="81">
        <f>+'Project Orto'!V161</f>
        <v>1.6924236646373332</v>
      </c>
      <c r="W279" s="82">
        <f>+'Project Orto'!W161</f>
        <v>1.1132726438699999E-2</v>
      </c>
      <c r="X279" s="82">
        <f>+'Project Orto'!X161</f>
        <v>31.500000000000007</v>
      </c>
      <c r="Y279" s="82">
        <f>+'Project Orto'!Y161</f>
        <v>11.776061776061777</v>
      </c>
      <c r="Z279" s="82">
        <f>+'Project Orto'!Z161</f>
        <v>0.53113267190476188</v>
      </c>
      <c r="AA279" s="82">
        <f>+'Project Orto'!AA161</f>
        <v>0.21121095246454188</v>
      </c>
      <c r="AB279" s="82">
        <f>+'Project Orto'!AB161</f>
        <v>0</v>
      </c>
      <c r="AC279" s="83">
        <f t="shared" si="270"/>
        <v>45.72196179150712</v>
      </c>
      <c r="AD279" s="93">
        <f t="shared" si="271"/>
        <v>22.86098089575356</v>
      </c>
      <c r="AE279" s="93">
        <f t="shared" si="272"/>
        <v>30</v>
      </c>
      <c r="AF279" s="90">
        <f t="shared" si="273"/>
        <v>7.1390191042464402</v>
      </c>
      <c r="AG279" s="91">
        <f t="shared" si="274"/>
        <v>0.31227964962660537</v>
      </c>
      <c r="AH279" s="92">
        <f t="shared" si="275"/>
        <v>60</v>
      </c>
    </row>
    <row r="280" spans="1:34" x14ac:dyDescent="0.3">
      <c r="A280" s="223"/>
      <c r="B280" s="4" t="str">
        <f t="shared" ref="B280:J280" si="288">+B251</f>
        <v>ORTO</v>
      </c>
      <c r="C280" s="4" t="str">
        <f t="shared" si="288"/>
        <v>Caraffa colonna twist1</v>
      </c>
      <c r="D280" s="5">
        <f t="shared" si="288"/>
        <v>2</v>
      </c>
      <c r="E280" s="5">
        <f t="shared" si="288"/>
        <v>1</v>
      </c>
      <c r="F280" s="5">
        <f t="shared" si="288"/>
        <v>1.41</v>
      </c>
      <c r="G280" s="5">
        <f t="shared" si="288"/>
        <v>101</v>
      </c>
      <c r="H280" s="4">
        <f t="shared" si="288"/>
        <v>3.323221E-4</v>
      </c>
      <c r="I280" s="6">
        <f t="shared" si="288"/>
        <v>0.92311694444444448</v>
      </c>
      <c r="J280" s="6">
        <f t="shared" si="288"/>
        <v>0.83080525000000005</v>
      </c>
      <c r="R280" s="5">
        <f>+'Project Orto'!R162</f>
        <v>2</v>
      </c>
      <c r="S280" s="6">
        <f>+'Project Orto'!S162</f>
        <v>202</v>
      </c>
      <c r="T280" s="6">
        <f>+'Project Orto'!T162</f>
        <v>1.846233888888889</v>
      </c>
      <c r="U280" s="6">
        <f>+'Project Orto'!U162</f>
        <v>1.6616105000000001</v>
      </c>
      <c r="V280" s="81">
        <f>+'Project Orto'!V162</f>
        <v>1.7093479012837065</v>
      </c>
      <c r="W280" s="82">
        <f>+'Project Orto'!W162</f>
        <v>1.12806736845E-2</v>
      </c>
      <c r="X280" s="82">
        <f>+'Project Orto'!X162</f>
        <v>31.815000000000005</v>
      </c>
      <c r="Y280" s="82">
        <f>+'Project Orto'!Y162</f>
        <v>11.893822393822393</v>
      </c>
      <c r="Z280" s="82">
        <f>+'Project Orto'!Z162</f>
        <v>0.53644399862380954</v>
      </c>
      <c r="AA280" s="82">
        <f>+'Project Orto'!AA162</f>
        <v>0.21401781912671894</v>
      </c>
      <c r="AB280" s="82">
        <f>+'Project Orto'!AB162</f>
        <v>0</v>
      </c>
      <c r="AC280" s="83">
        <f t="shared" si="270"/>
        <v>46.179912786541131</v>
      </c>
      <c r="AD280" s="93">
        <f t="shared" si="271"/>
        <v>23.089956393270565</v>
      </c>
      <c r="AE280" s="93">
        <f t="shared" si="272"/>
        <v>30</v>
      </c>
      <c r="AF280" s="90">
        <f t="shared" si="273"/>
        <v>6.9100436067294346</v>
      </c>
      <c r="AG280" s="91">
        <f t="shared" si="274"/>
        <v>0.29926620427673595</v>
      </c>
      <c r="AH280" s="92">
        <f t="shared" si="275"/>
        <v>60</v>
      </c>
    </row>
    <row r="281" spans="1:34" x14ac:dyDescent="0.3">
      <c r="A281" s="223"/>
      <c r="B281" s="4" t="str">
        <f t="shared" ref="B281:J281" si="289">+B252</f>
        <v>ORTO</v>
      </c>
      <c r="C281" s="4" t="str">
        <f t="shared" si="289"/>
        <v>Caraffa colonna twist2</v>
      </c>
      <c r="D281" s="5">
        <f t="shared" si="289"/>
        <v>2</v>
      </c>
      <c r="E281" s="5">
        <f t="shared" si="289"/>
        <v>1</v>
      </c>
      <c r="F281" s="5">
        <f t="shared" si="289"/>
        <v>1.45</v>
      </c>
      <c r="G281" s="5">
        <f t="shared" si="289"/>
        <v>105</v>
      </c>
      <c r="H281" s="4">
        <f t="shared" si="289"/>
        <v>3.4271101000000001E-4</v>
      </c>
      <c r="I281" s="6">
        <f t="shared" si="289"/>
        <v>0.95197502777777776</v>
      </c>
      <c r="J281" s="6">
        <f t="shared" si="289"/>
        <v>0.85677752500000004</v>
      </c>
      <c r="R281" s="5">
        <f>+'Project Orto'!R163</f>
        <v>2</v>
      </c>
      <c r="S281" s="6">
        <f>+'Project Orto'!S163</f>
        <v>210</v>
      </c>
      <c r="T281" s="6">
        <f>+'Project Orto'!T163</f>
        <v>1.9039500555555555</v>
      </c>
      <c r="U281" s="6">
        <f>+'Project Orto'!U163</f>
        <v>1.7135550500000001</v>
      </c>
      <c r="V281" s="81">
        <f>+'Project Orto'!V163</f>
        <v>1.7770448478691998</v>
      </c>
      <c r="W281" s="82">
        <f>+'Project Orto'!W163</f>
        <v>1.1633325234450001E-2</v>
      </c>
      <c r="X281" s="82">
        <f>+'Project Orto'!X163</f>
        <v>33.075000000000003</v>
      </c>
      <c r="Y281" s="82">
        <f>+'Project Orto'!Y163</f>
        <v>12.364864864864865</v>
      </c>
      <c r="Z281" s="82">
        <f>+'Project Orto'!Z163</f>
        <v>0.55768930550000007</v>
      </c>
      <c r="AA281" s="82">
        <f>+'Project Orto'!AA163</f>
        <v>0.22070835177953907</v>
      </c>
      <c r="AB281" s="82">
        <f>+'Project Orto'!AB163</f>
        <v>0</v>
      </c>
      <c r="AC281" s="83">
        <f t="shared" si="270"/>
        <v>48.006940695248055</v>
      </c>
      <c r="AD281" s="93">
        <f t="shared" si="271"/>
        <v>24.003470347624027</v>
      </c>
      <c r="AE281" s="93">
        <f t="shared" si="272"/>
        <v>30</v>
      </c>
      <c r="AF281" s="90">
        <f t="shared" si="273"/>
        <v>5.9965296523759726</v>
      </c>
      <c r="AG281" s="91">
        <f t="shared" si="274"/>
        <v>0.24981927885979771</v>
      </c>
      <c r="AH281" s="92">
        <f t="shared" si="275"/>
        <v>60</v>
      </c>
    </row>
    <row r="282" spans="1:34" x14ac:dyDescent="0.3">
      <c r="A282" s="223"/>
      <c r="B282" s="4" t="str">
        <f t="shared" ref="B282:J282" si="290">+B253</f>
        <v>ORTO</v>
      </c>
      <c r="C282" s="4" t="str">
        <f t="shared" si="290"/>
        <v>Caraffa colonna twist3</v>
      </c>
      <c r="D282" s="5">
        <f t="shared" si="290"/>
        <v>2</v>
      </c>
      <c r="E282" s="5">
        <f t="shared" si="290"/>
        <v>1</v>
      </c>
      <c r="F282" s="5">
        <f t="shared" si="290"/>
        <v>1.42</v>
      </c>
      <c r="G282" s="5">
        <f t="shared" si="290"/>
        <v>102</v>
      </c>
      <c r="H282" s="4">
        <f t="shared" si="290"/>
        <v>3.3727121999999998E-4</v>
      </c>
      <c r="I282" s="6">
        <f t="shared" si="290"/>
        <v>0.93686449999999988</v>
      </c>
      <c r="J282" s="6">
        <f t="shared" si="290"/>
        <v>0.8431780499999999</v>
      </c>
      <c r="R282" s="5">
        <f>+'Project Orto'!R164</f>
        <v>2</v>
      </c>
      <c r="S282" s="6">
        <f>+'Project Orto'!S164</f>
        <v>204</v>
      </c>
      <c r="T282" s="6">
        <f>+'Project Orto'!T164</f>
        <v>1.8737289999999998</v>
      </c>
      <c r="U282" s="6">
        <f>+'Project Orto'!U164</f>
        <v>1.6863560999999998</v>
      </c>
      <c r="V282" s="81">
        <f>+'Project Orto'!V164</f>
        <v>1.7262721379300801</v>
      </c>
      <c r="W282" s="82">
        <f>+'Project Orto'!W164</f>
        <v>1.1448671562899998E-2</v>
      </c>
      <c r="X282" s="82">
        <f>+'Project Orto'!X164</f>
        <v>32.130000000000003</v>
      </c>
      <c r="Y282" s="82">
        <f>+'Project Orto'!Y164</f>
        <v>12.011583011583012</v>
      </c>
      <c r="Z282" s="82">
        <f>+'Project Orto'!Z164</f>
        <v>0.5417553253428572</v>
      </c>
      <c r="AA282" s="82">
        <f>+'Project Orto'!AA164</f>
        <v>0.21720508795114082</v>
      </c>
      <c r="AB282" s="82">
        <f>+'Project Orto'!AB164</f>
        <v>0</v>
      </c>
      <c r="AC282" s="83">
        <f t="shared" si="270"/>
        <v>46.638264234369991</v>
      </c>
      <c r="AD282" s="93">
        <f t="shared" si="271"/>
        <v>23.319132117184996</v>
      </c>
      <c r="AE282" s="93">
        <f t="shared" si="272"/>
        <v>30</v>
      </c>
      <c r="AF282" s="90">
        <f t="shared" si="273"/>
        <v>6.6808678828150043</v>
      </c>
      <c r="AG282" s="91">
        <f t="shared" si="274"/>
        <v>0.28649727825383131</v>
      </c>
      <c r="AH282" s="92">
        <f t="shared" si="275"/>
        <v>60</v>
      </c>
    </row>
    <row r="283" spans="1:34" x14ac:dyDescent="0.3">
      <c r="A283" s="223"/>
      <c r="B283" s="4" t="str">
        <f t="shared" ref="B283:J283" si="291">+B254</f>
        <v>ORTO</v>
      </c>
      <c r="C283" s="4" t="str">
        <f t="shared" si="291"/>
        <v>Bicchiere colonna twist1</v>
      </c>
      <c r="D283" s="5">
        <f t="shared" si="291"/>
        <v>1</v>
      </c>
      <c r="E283" s="5">
        <f t="shared" si="291"/>
        <v>1</v>
      </c>
      <c r="F283" s="5">
        <f t="shared" si="291"/>
        <v>0.57999999999999996</v>
      </c>
      <c r="G283" s="5">
        <f t="shared" si="291"/>
        <v>58</v>
      </c>
      <c r="H283" s="4">
        <f t="shared" si="291"/>
        <v>9.7981700000000004E-5</v>
      </c>
      <c r="I283" s="6">
        <f t="shared" si="291"/>
        <v>0.27217138888888892</v>
      </c>
      <c r="J283" s="6">
        <f t="shared" si="291"/>
        <v>0.24495425000000001</v>
      </c>
      <c r="R283" s="5">
        <f>+'Project Orto'!R165</f>
        <v>12</v>
      </c>
      <c r="S283" s="6">
        <f>+'Project Orto'!S165</f>
        <v>696</v>
      </c>
      <c r="T283" s="6">
        <f>+'Project Orto'!T165</f>
        <v>3.2660566666666671</v>
      </c>
      <c r="U283" s="6">
        <f>+'Project Orto'!U165</f>
        <v>2.939451</v>
      </c>
      <c r="V283" s="81">
        <f>+'Project Orto'!V165</f>
        <v>5.8896343529379198</v>
      </c>
      <c r="W283" s="82">
        <f>+'Project Orto'!W165</f>
        <v>1.9955932839000001E-2</v>
      </c>
      <c r="X283" s="82">
        <f>+'Project Orto'!X165</f>
        <v>109.62000000000002</v>
      </c>
      <c r="Y283" s="82">
        <f>+'Project Orto'!Y165</f>
        <v>40.980694980694977</v>
      </c>
      <c r="Z283" s="82">
        <f>+'Project Orto'!Z165</f>
        <v>1.8483416982285714</v>
      </c>
      <c r="AA283" s="82">
        <f>+'Project Orto'!AA165</f>
        <v>0.37860551100865886</v>
      </c>
      <c r="AB283" s="82">
        <f>+'Project Orto'!AB165</f>
        <v>0</v>
      </c>
      <c r="AC283" s="83">
        <f t="shared" si="270"/>
        <v>158.73723247570913</v>
      </c>
      <c r="AD283" s="93">
        <f t="shared" si="271"/>
        <v>13.228102706309095</v>
      </c>
      <c r="AE283" s="93">
        <f t="shared" si="272"/>
        <v>15</v>
      </c>
      <c r="AF283" s="90">
        <f t="shared" si="273"/>
        <v>1.7718972936909054</v>
      </c>
      <c r="AG283" s="91">
        <f t="shared" si="274"/>
        <v>0.13394946599906618</v>
      </c>
      <c r="AH283" s="92">
        <f t="shared" si="275"/>
        <v>180</v>
      </c>
    </row>
    <row r="284" spans="1:34" x14ac:dyDescent="0.3">
      <c r="A284" s="223"/>
      <c r="B284" s="4" t="str">
        <f t="shared" ref="B284:J284" si="292">+B255</f>
        <v>ORTO</v>
      </c>
      <c r="C284" s="4" t="str">
        <f t="shared" si="292"/>
        <v>Bicchiere colonna twist2</v>
      </c>
      <c r="D284" s="5">
        <f t="shared" si="292"/>
        <v>1</v>
      </c>
      <c r="E284" s="5">
        <f t="shared" si="292"/>
        <v>1</v>
      </c>
      <c r="F284" s="5">
        <f t="shared" si="292"/>
        <v>0.59</v>
      </c>
      <c r="G284" s="5">
        <f t="shared" si="292"/>
        <v>59</v>
      </c>
      <c r="H284" s="4">
        <f t="shared" si="292"/>
        <v>9.7982366999999995E-5</v>
      </c>
      <c r="I284" s="6">
        <f t="shared" si="292"/>
        <v>0.27217324166666662</v>
      </c>
      <c r="J284" s="6">
        <f t="shared" si="292"/>
        <v>0.24495591749999998</v>
      </c>
      <c r="R284" s="5">
        <f>+'Project Orto'!R166</f>
        <v>12</v>
      </c>
      <c r="S284" s="6">
        <f>+'Project Orto'!S166</f>
        <v>708</v>
      </c>
      <c r="T284" s="6">
        <f>+'Project Orto'!T166</f>
        <v>3.2660788999999992</v>
      </c>
      <c r="U284" s="6">
        <f>+'Project Orto'!U166</f>
        <v>2.9394710099999997</v>
      </c>
      <c r="V284" s="81">
        <f>+'Project Orto'!V166</f>
        <v>5.9911797728161593</v>
      </c>
      <c r="W284" s="82">
        <f>+'Project Orto'!W166</f>
        <v>1.9956068686889997E-2</v>
      </c>
      <c r="X284" s="82">
        <f>+'Project Orto'!X166</f>
        <v>111.51000000000002</v>
      </c>
      <c r="Y284" s="82">
        <f>+'Project Orto'!Y166</f>
        <v>41.687258687258691</v>
      </c>
      <c r="Z284" s="82">
        <f>+'Project Orto'!Z166</f>
        <v>1.8802096585428572</v>
      </c>
      <c r="AA284" s="82">
        <f>+'Project Orto'!AA166</f>
        <v>0.37860808832540094</v>
      </c>
      <c r="AB284" s="82">
        <f>+'Project Orto'!AB166</f>
        <v>0</v>
      </c>
      <c r="AC284" s="83">
        <f t="shared" si="270"/>
        <v>161.46721227563</v>
      </c>
      <c r="AD284" s="93">
        <f t="shared" si="271"/>
        <v>13.455601022969168</v>
      </c>
      <c r="AE284" s="93">
        <f t="shared" si="272"/>
        <v>15</v>
      </c>
      <c r="AF284" s="90">
        <f t="shared" si="273"/>
        <v>1.5443989770308324</v>
      </c>
      <c r="AG284" s="91">
        <f t="shared" si="274"/>
        <v>0.11477740566136667</v>
      </c>
      <c r="AH284" s="92">
        <f t="shared" si="275"/>
        <v>180</v>
      </c>
    </row>
    <row r="285" spans="1:34" x14ac:dyDescent="0.3">
      <c r="A285" s="223"/>
      <c r="B285" s="4" t="str">
        <f t="shared" ref="B285:J285" si="293">+B256</f>
        <v>ORTO</v>
      </c>
      <c r="C285" s="4" t="str">
        <f t="shared" si="293"/>
        <v>Bicchiere colonna twist3</v>
      </c>
      <c r="D285" s="5">
        <f t="shared" si="293"/>
        <v>1</v>
      </c>
      <c r="E285" s="5">
        <f t="shared" si="293"/>
        <v>1</v>
      </c>
      <c r="F285" s="5">
        <f t="shared" si="293"/>
        <v>0.59</v>
      </c>
      <c r="G285" s="5">
        <f t="shared" si="293"/>
        <v>59</v>
      </c>
      <c r="H285" s="4">
        <f t="shared" si="293"/>
        <v>9.7984652999999995E-5</v>
      </c>
      <c r="I285" s="6">
        <f t="shared" si="293"/>
        <v>0.27217959166666666</v>
      </c>
      <c r="J285" s="6">
        <f t="shared" si="293"/>
        <v>0.2449616325</v>
      </c>
      <c r="R285" s="5">
        <f>+'Project Orto'!R167</f>
        <v>12</v>
      </c>
      <c r="S285" s="6">
        <f>+'Project Orto'!S167</f>
        <v>708</v>
      </c>
      <c r="T285" s="6">
        <f>+'Project Orto'!T167</f>
        <v>3.2661550999999998</v>
      </c>
      <c r="U285" s="6">
        <f>+'Project Orto'!U167</f>
        <v>2.9395395899999999</v>
      </c>
      <c r="V285" s="81">
        <f>+'Project Orto'!V167</f>
        <v>5.9911797728161593</v>
      </c>
      <c r="W285" s="82">
        <f>+'Project Orto'!W167</f>
        <v>1.995653427651E-2</v>
      </c>
      <c r="X285" s="82">
        <f>+'Project Orto'!X167</f>
        <v>111.51000000000002</v>
      </c>
      <c r="Y285" s="82">
        <f>+'Project Orto'!Y167</f>
        <v>41.687258687258691</v>
      </c>
      <c r="Z285" s="82">
        <f>+'Project Orto'!Z167</f>
        <v>1.8802096585428572</v>
      </c>
      <c r="AA285" s="82">
        <f>+'Project Orto'!AA167</f>
        <v>0.37861692152790888</v>
      </c>
      <c r="AB285" s="82">
        <f>+'Project Orto'!AB167</f>
        <v>0</v>
      </c>
      <c r="AC285" s="83">
        <f t="shared" si="270"/>
        <v>161.46722157442215</v>
      </c>
      <c r="AD285" s="93">
        <f t="shared" si="271"/>
        <v>13.455601797868512</v>
      </c>
      <c r="AE285" s="93">
        <f t="shared" si="272"/>
        <v>15</v>
      </c>
      <c r="AF285" s="90">
        <f t="shared" si="273"/>
        <v>1.5443982021314877</v>
      </c>
      <c r="AG285" s="91">
        <f t="shared" si="274"/>
        <v>0.11477734146206187</v>
      </c>
      <c r="AH285" s="92">
        <f t="shared" si="275"/>
        <v>180</v>
      </c>
    </row>
    <row r="286" spans="1:34" x14ac:dyDescent="0.3">
      <c r="A286" s="223"/>
      <c r="B286" s="4" t="str">
        <f t="shared" ref="B286:J286" si="294">+B257</f>
        <v>ORTO</v>
      </c>
      <c r="C286" s="4" t="str">
        <f t="shared" si="294"/>
        <v>Bicchiere colonna twist alto</v>
      </c>
      <c r="D286" s="5">
        <f t="shared" si="294"/>
        <v>1</v>
      </c>
      <c r="E286" s="5">
        <f t="shared" si="294"/>
        <v>1</v>
      </c>
      <c r="F286" s="5">
        <f t="shared" si="294"/>
        <v>0.57999999999999996</v>
      </c>
      <c r="G286" s="5">
        <f t="shared" si="294"/>
        <v>58</v>
      </c>
      <c r="H286" s="4">
        <f t="shared" si="294"/>
        <v>9.4065272999999995E-5</v>
      </c>
      <c r="I286" s="6">
        <f t="shared" si="294"/>
        <v>0.26129242499999999</v>
      </c>
      <c r="J286" s="6">
        <f t="shared" si="294"/>
        <v>0.23516318249999998</v>
      </c>
      <c r="R286" s="5">
        <f>+'Project Orto'!R168</f>
        <v>12</v>
      </c>
      <c r="S286" s="6">
        <f>+'Project Orto'!S168</f>
        <v>696</v>
      </c>
      <c r="T286" s="6">
        <f>+'Project Orto'!T168</f>
        <v>3.1355091000000002</v>
      </c>
      <c r="U286" s="6">
        <f>+'Project Orto'!U168</f>
        <v>2.8219581899999997</v>
      </c>
      <c r="V286" s="81">
        <f>+'Project Orto'!V168</f>
        <v>5.8896343529379198</v>
      </c>
      <c r="W286" s="82">
        <f>+'Project Orto'!W168</f>
        <v>1.9158274151909998E-2</v>
      </c>
      <c r="X286" s="82">
        <f>+'Project Orto'!X168</f>
        <v>109.62000000000002</v>
      </c>
      <c r="Y286" s="82">
        <f>+'Project Orto'!Y168</f>
        <v>40.980694980694977</v>
      </c>
      <c r="Z286" s="82">
        <f>+'Project Orto'!Z168</f>
        <v>1.8483416982285714</v>
      </c>
      <c r="AA286" s="82">
        <f>+'Project Orto'!AA168</f>
        <v>0.36347226831473628</v>
      </c>
      <c r="AB286" s="82">
        <f>+'Project Orto'!AB168</f>
        <v>0</v>
      </c>
      <c r="AC286" s="83">
        <f t="shared" si="270"/>
        <v>158.72130157432812</v>
      </c>
      <c r="AD286" s="93">
        <f t="shared" si="271"/>
        <v>13.22677513119401</v>
      </c>
      <c r="AE286" s="93">
        <f t="shared" si="272"/>
        <v>15</v>
      </c>
      <c r="AF286" s="90">
        <f t="shared" si="273"/>
        <v>1.7732248688059897</v>
      </c>
      <c r="AG286" s="91">
        <f t="shared" si="274"/>
        <v>0.13406328082376015</v>
      </c>
      <c r="AH286" s="92">
        <f t="shared" si="275"/>
        <v>180</v>
      </c>
    </row>
    <row r="287" spans="1:34" x14ac:dyDescent="0.3">
      <c r="A287" s="223"/>
      <c r="B287" s="4" t="str">
        <f t="shared" ref="B287:J287" si="295">+B258</f>
        <v>LA GALLINA</v>
      </c>
      <c r="C287" s="4" t="str">
        <f t="shared" si="295"/>
        <v>Oliera1</v>
      </c>
      <c r="D287" s="5">
        <f t="shared" si="295"/>
        <v>2</v>
      </c>
      <c r="E287" s="5">
        <f t="shared" si="295"/>
        <v>1</v>
      </c>
      <c r="F287" s="5">
        <f t="shared" si="295"/>
        <v>0.54</v>
      </c>
      <c r="G287" s="5">
        <f t="shared" si="295"/>
        <v>54</v>
      </c>
      <c r="H287" s="4">
        <f t="shared" si="295"/>
        <v>1.830542E-4</v>
      </c>
      <c r="I287" s="6">
        <f t="shared" si="295"/>
        <v>0.50848388888888885</v>
      </c>
      <c r="J287" s="6">
        <f t="shared" si="295"/>
        <v>0.45763549999999997</v>
      </c>
      <c r="R287" s="5">
        <f>+'Project La Gallina'!R77</f>
        <v>10</v>
      </c>
      <c r="S287" s="6">
        <f>+'Project La Gallina'!S77</f>
        <v>540</v>
      </c>
      <c r="T287" s="6">
        <f>+'Project La Gallina'!T77</f>
        <v>5.0848388888888882</v>
      </c>
      <c r="U287" s="6">
        <f>+'Project La Gallina'!U77</f>
        <v>4.5763549999999995</v>
      </c>
      <c r="V287" s="81">
        <f>+'Project La Gallina'!V77</f>
        <v>4.5695438945208</v>
      </c>
      <c r="W287" s="82">
        <f>+'Project La Gallina'!W77</f>
        <v>3.1068874094999997E-2</v>
      </c>
      <c r="X287" s="82">
        <f>+'Project La Gallina'!X77</f>
        <v>85.050000000000011</v>
      </c>
      <c r="Y287" s="82">
        <f>+'Project La Gallina'!Y77</f>
        <v>31.795366795366796</v>
      </c>
      <c r="Z287" s="82">
        <f>+'Project La Gallina'!Z77</f>
        <v>1.2857142857142856</v>
      </c>
      <c r="AA287" s="82">
        <f>+'Project La Gallina'!AA77</f>
        <v>0.5894410974471187</v>
      </c>
      <c r="AB287" s="82">
        <f>+'Project La Gallina'!AB77</f>
        <v>0</v>
      </c>
      <c r="AC287" s="83">
        <f t="shared" si="270"/>
        <v>123.32113494714402</v>
      </c>
      <c r="AD287" s="93">
        <f t="shared" si="271"/>
        <v>12.332113494714402</v>
      </c>
      <c r="AE287" s="93">
        <f t="shared" si="272"/>
        <v>20</v>
      </c>
      <c r="AF287" s="90">
        <f t="shared" si="273"/>
        <v>7.6678865052855976</v>
      </c>
      <c r="AG287" s="91">
        <f t="shared" si="274"/>
        <v>0.62178202532534976</v>
      </c>
      <c r="AH287" s="92">
        <f t="shared" si="275"/>
        <v>200</v>
      </c>
    </row>
    <row r="288" spans="1:34" ht="15" thickBot="1" x14ac:dyDescent="0.35">
      <c r="A288" s="224"/>
      <c r="B288" s="4" t="str">
        <f t="shared" ref="B288:J288" si="296">+B259</f>
        <v>LA GALLINA</v>
      </c>
      <c r="C288" s="4" t="str">
        <f t="shared" si="296"/>
        <v>Piatto spirale</v>
      </c>
      <c r="D288" s="5">
        <f t="shared" si="296"/>
        <v>4</v>
      </c>
      <c r="E288" s="5">
        <f t="shared" si="296"/>
        <v>5</v>
      </c>
      <c r="F288" s="5">
        <f t="shared" si="296"/>
        <v>0.25</v>
      </c>
      <c r="G288" s="5">
        <f t="shared" si="296"/>
        <v>25</v>
      </c>
      <c r="H288" s="4">
        <f t="shared" si="296"/>
        <v>1.575448E-4</v>
      </c>
      <c r="I288" s="6">
        <f t="shared" si="296"/>
        <v>0.43762444444444443</v>
      </c>
      <c r="J288" s="6">
        <f t="shared" si="296"/>
        <v>0.39386199999999999</v>
      </c>
      <c r="R288" s="5">
        <f>+'Project La Gallina'!R78</f>
        <v>10</v>
      </c>
      <c r="S288" s="6">
        <f>+'Project La Gallina'!S78</f>
        <v>250</v>
      </c>
      <c r="T288" s="6">
        <f>+'Project La Gallina'!T78</f>
        <v>4.3762444444444446</v>
      </c>
      <c r="U288" s="6">
        <f>+'Project La Gallina'!U78</f>
        <v>3.9386199999999998</v>
      </c>
      <c r="V288" s="84">
        <f>+'Project La Gallina'!V78</f>
        <v>2.1155295807966668</v>
      </c>
      <c r="W288" s="85">
        <f>+'Project La Gallina'!W78</f>
        <v>2.6739291179999999E-2</v>
      </c>
      <c r="X288" s="85">
        <f>+'Project La Gallina'!X78</f>
        <v>39.375000000000007</v>
      </c>
      <c r="Y288" s="85">
        <f>+'Project La Gallina'!Y78</f>
        <v>14.72007722007722</v>
      </c>
      <c r="Z288" s="85">
        <f>+'Project La Gallina'!Z78</f>
        <v>0.59523809523809523</v>
      </c>
      <c r="AA288" s="85">
        <f>+'Project La Gallina'!AA78</f>
        <v>0.50729991340863434</v>
      </c>
      <c r="AB288" s="85">
        <f>+'Project La Gallina'!AB78</f>
        <v>0</v>
      </c>
      <c r="AC288" s="83">
        <f t="shared" si="270"/>
        <v>57.33988410070063</v>
      </c>
      <c r="AD288" s="93">
        <f t="shared" si="271"/>
        <v>5.7339884100700633</v>
      </c>
      <c r="AE288" s="93">
        <f t="shared" si="272"/>
        <v>15</v>
      </c>
      <c r="AF288" s="90">
        <f t="shared" si="273"/>
        <v>9.2660115899299367</v>
      </c>
      <c r="AG288" s="91">
        <f t="shared" si="274"/>
        <v>1.6159801742286248</v>
      </c>
      <c r="AH288" s="92">
        <f t="shared" si="275"/>
        <v>150</v>
      </c>
    </row>
    <row r="291" spans="1:35" ht="18.600000000000001" thickBot="1" x14ac:dyDescent="0.4">
      <c r="D291" s="237" t="s">
        <v>40</v>
      </c>
      <c r="E291" s="237"/>
      <c r="F291" s="237"/>
      <c r="G291" s="237"/>
      <c r="H291" s="237"/>
      <c r="I291" s="237"/>
      <c r="J291" s="237"/>
      <c r="K291" s="237"/>
      <c r="L291" s="237"/>
      <c r="M291" s="237"/>
      <c r="N291" s="237"/>
      <c r="O291" s="237"/>
      <c r="P291" s="237"/>
      <c r="Q291" s="237"/>
      <c r="R291" s="10" t="s">
        <v>32</v>
      </c>
      <c r="S291" s="87">
        <f>+S293/60/7</f>
        <v>20.461904761904758</v>
      </c>
      <c r="T291" s="88" t="s">
        <v>83</v>
      </c>
    </row>
    <row r="292" spans="1:35" x14ac:dyDescent="0.3">
      <c r="D292" s="236" t="s">
        <v>33</v>
      </c>
      <c r="E292" s="236"/>
      <c r="F292" s="236"/>
      <c r="G292" s="236"/>
      <c r="H292" s="236"/>
      <c r="I292" s="236"/>
      <c r="J292" s="236"/>
      <c r="M292" s="236" t="s">
        <v>36</v>
      </c>
      <c r="N292" s="236"/>
      <c r="O292" s="236"/>
      <c r="P292" s="236"/>
      <c r="Q292" s="236"/>
      <c r="V292" s="238" t="s">
        <v>135</v>
      </c>
      <c r="W292" s="239"/>
      <c r="X292" s="239"/>
      <c r="Y292" s="239"/>
      <c r="Z292" s="239"/>
      <c r="AA292" s="239"/>
      <c r="AB292" s="239"/>
      <c r="AC292" s="240"/>
    </row>
    <row r="293" spans="1:35" ht="18" x14ac:dyDescent="0.35">
      <c r="B293" s="178" t="s">
        <v>469</v>
      </c>
      <c r="F293" s="225" t="s">
        <v>44</v>
      </c>
      <c r="G293" s="225"/>
      <c r="I293" s="20">
        <f>SUBTOTAL(9,I295:I317)</f>
        <v>59.570075669444442</v>
      </c>
      <c r="J293" s="20">
        <f>SUBTOTAL(9,J295:J317)</f>
        <v>53.613068102499987</v>
      </c>
      <c r="K293" s="1">
        <f>+'Finished goods'!$I$3</f>
        <v>2500</v>
      </c>
      <c r="L293" s="1">
        <f>+'Finished goods'!$J$3</f>
        <v>0.9</v>
      </c>
      <c r="M293" s="15">
        <f>+'Finished goods'!$K$3</f>
        <v>0.50772709939119998</v>
      </c>
      <c r="N293" s="15">
        <f>+'Finished goods'!$L$3</f>
        <v>6.7889999999999999E-3</v>
      </c>
      <c r="O293" s="13">
        <f>+'Finished goods'!$M$3</f>
        <v>0.15750000000000003</v>
      </c>
      <c r="P293" s="46">
        <f>+'Finished goods'!$N$3</f>
        <v>5.8880308880308881E-2</v>
      </c>
      <c r="Q293" s="1"/>
      <c r="S293" s="17">
        <f>SUBTOTAL(9,S295:S317)</f>
        <v>8594</v>
      </c>
      <c r="T293" s="17">
        <f>SUBTOTAL(9,T295:T317)</f>
        <v>162.95047083611109</v>
      </c>
      <c r="U293" s="75">
        <f>SUBTOTAL(9,U295:U317)</f>
        <v>146.65542375250001</v>
      </c>
      <c r="V293" s="77">
        <f t="shared" ref="V293:AC293" si="297">SUBTOTAL(9,V295:V317)</f>
        <v>72.723444869466206</v>
      </c>
      <c r="W293" s="17">
        <f t="shared" si="297"/>
        <v>0.99564367185572245</v>
      </c>
      <c r="X293" s="17">
        <f t="shared" si="297"/>
        <v>1353.5550000000003</v>
      </c>
      <c r="Y293" s="17">
        <f t="shared" si="297"/>
        <v>506.01737451737455</v>
      </c>
      <c r="Z293" s="17">
        <f t="shared" si="297"/>
        <v>22.605749238676189</v>
      </c>
      <c r="AA293" s="17">
        <f t="shared" si="297"/>
        <v>18.889429234236815</v>
      </c>
      <c r="AB293" s="17">
        <f t="shared" si="297"/>
        <v>468</v>
      </c>
      <c r="AC293" s="78">
        <f t="shared" si="297"/>
        <v>2442.7866415316093</v>
      </c>
      <c r="AF293" s="225" t="s">
        <v>118</v>
      </c>
      <c r="AG293" s="225"/>
      <c r="AH293" s="108">
        <f t="shared" ref="AH293" si="298">SUBTOTAL(9,AH295:AH317)</f>
        <v>8320</v>
      </c>
      <c r="AI293" s="95"/>
    </row>
    <row r="294" spans="1:35" x14ac:dyDescent="0.3">
      <c r="A294" s="1" t="s">
        <v>145</v>
      </c>
      <c r="B294" s="1" t="s">
        <v>30</v>
      </c>
      <c r="C294" s="1" t="s">
        <v>0</v>
      </c>
      <c r="D294" s="1" t="s">
        <v>4</v>
      </c>
      <c r="E294" s="1" t="s">
        <v>5</v>
      </c>
      <c r="F294" s="1" t="s">
        <v>45</v>
      </c>
      <c r="G294" s="1" t="s">
        <v>57</v>
      </c>
      <c r="H294" s="1" t="s">
        <v>6</v>
      </c>
      <c r="I294" s="1" t="s">
        <v>2</v>
      </c>
      <c r="J294" s="1" t="s">
        <v>7</v>
      </c>
      <c r="K294" s="1" t="s">
        <v>31</v>
      </c>
      <c r="L294" s="1" t="s">
        <v>8</v>
      </c>
      <c r="M294" s="1" t="s">
        <v>34</v>
      </c>
      <c r="N294" s="1" t="s">
        <v>35</v>
      </c>
      <c r="O294" s="1" t="s">
        <v>37</v>
      </c>
      <c r="P294" s="1" t="s">
        <v>93</v>
      </c>
      <c r="Q294" s="1" t="s">
        <v>94</v>
      </c>
      <c r="R294" s="11" t="s">
        <v>39</v>
      </c>
      <c r="S294" s="2" t="s">
        <v>43</v>
      </c>
      <c r="T294" s="2" t="s">
        <v>2</v>
      </c>
      <c r="U294" s="76" t="s">
        <v>7</v>
      </c>
      <c r="V294" s="2" t="str">
        <f>+V4</f>
        <v>energia €/h</v>
      </c>
      <c r="W294" s="2" t="str">
        <f t="shared" ref="W294:AB294" si="299">+W4</f>
        <v>materiale €/Kg</v>
      </c>
      <c r="X294" s="2" t="str">
        <f t="shared" si="299"/>
        <v>mod</v>
      </c>
      <c r="Y294" s="2" t="str">
        <f t="shared" si="299"/>
        <v>ammort</v>
      </c>
      <c r="Z294" s="2" t="str">
        <f t="shared" si="299"/>
        <v>Accensione</v>
      </c>
      <c r="AA294" s="2" t="str">
        <f t="shared" si="299"/>
        <v>trasporto</v>
      </c>
      <c r="AB294" s="2" t="str">
        <f t="shared" si="299"/>
        <v>forniture</v>
      </c>
      <c r="AC294" s="80" t="s">
        <v>42</v>
      </c>
      <c r="AD294" s="53" t="s">
        <v>116</v>
      </c>
      <c r="AE294" s="1" t="s">
        <v>117</v>
      </c>
      <c r="AF294" s="1" t="s">
        <v>119</v>
      </c>
      <c r="AG294" s="1" t="s">
        <v>120</v>
      </c>
      <c r="AH294" s="1" t="s">
        <v>121</v>
      </c>
    </row>
    <row r="295" spans="1:35" ht="14.4" customHeight="1" x14ac:dyDescent="0.3">
      <c r="A295" s="222" t="s">
        <v>421</v>
      </c>
      <c r="B295" s="4" t="str">
        <f>+B266</f>
        <v>OSTELLIERE</v>
      </c>
      <c r="C295" s="4" t="str">
        <f>+C266</f>
        <v>Tavolo twist Logo</v>
      </c>
      <c r="D295" s="5">
        <f>+D266</f>
        <v>8</v>
      </c>
      <c r="E295" s="5">
        <f>+E266</f>
        <v>10</v>
      </c>
      <c r="F295" s="5">
        <f>+F266</f>
        <v>1.22</v>
      </c>
      <c r="G295" s="5">
        <f t="shared" ref="G295:J295" si="300">+G266</f>
        <v>82</v>
      </c>
      <c r="H295" s="4">
        <f t="shared" si="300"/>
        <v>7.9769999999999997E-3</v>
      </c>
      <c r="I295" s="6">
        <f t="shared" si="300"/>
        <v>22.158333333333331</v>
      </c>
      <c r="J295" s="6">
        <f t="shared" si="300"/>
        <v>19.942499999999999</v>
      </c>
      <c r="R295" s="5">
        <f>+'Project Ostelliere'!R165</f>
        <v>2</v>
      </c>
      <c r="S295" s="6">
        <f>+'Project Ostelliere'!S165</f>
        <v>164</v>
      </c>
      <c r="T295" s="6">
        <f>+'Project Ostelliere'!T165</f>
        <v>44.316666666666663</v>
      </c>
      <c r="U295" s="6">
        <f>+'Project Ostelliere'!U165</f>
        <v>39.884999999999998</v>
      </c>
      <c r="V295" s="81">
        <f>+'Project Ostelliere'!V165</f>
        <v>1.3877874050026131</v>
      </c>
      <c r="W295" s="82">
        <f>+'Project Ostelliere'!W165</f>
        <v>0.27077926499999999</v>
      </c>
      <c r="X295" s="82">
        <f>+'Project Ostelliere'!X165</f>
        <v>25.830000000000005</v>
      </c>
      <c r="Y295" s="82">
        <f>+'Project Ostelliere'!Y165</f>
        <v>9.6563706563706564</v>
      </c>
      <c r="Z295" s="82">
        <f>+'Project Ostelliere'!Z165</f>
        <v>0.43552879096190478</v>
      </c>
      <c r="AA295" s="82">
        <f>+'Project Ostelliere'!AA165</f>
        <v>5.1372452905594805</v>
      </c>
      <c r="AB295" s="82">
        <f>+'Project Ostelliere'!AB165</f>
        <v>300</v>
      </c>
      <c r="AC295" s="83">
        <f>SUM(V295:AB295)</f>
        <v>342.71771140789463</v>
      </c>
      <c r="AD295" s="93">
        <f>+AC295/R295</f>
        <v>171.35885570394731</v>
      </c>
      <c r="AE295" s="93">
        <f>+AE266</f>
        <v>800</v>
      </c>
      <c r="AF295" s="90">
        <f>+AE295-AD295</f>
        <v>628.64114429605274</v>
      </c>
      <c r="AG295" s="91">
        <f>+AF295/AD295</f>
        <v>3.6685652557235873</v>
      </c>
      <c r="AH295" s="92">
        <f>+AE295*R295</f>
        <v>1600</v>
      </c>
    </row>
    <row r="296" spans="1:35" x14ac:dyDescent="0.3">
      <c r="A296" s="223"/>
      <c r="B296" s="4" t="str">
        <f t="shared" ref="B296:J296" si="301">+B267</f>
        <v>OSTELLIERE</v>
      </c>
      <c r="C296" s="4" t="str">
        <f t="shared" si="301"/>
        <v xml:space="preserve">Vaso bitorzolo curvo </v>
      </c>
      <c r="D296" s="5">
        <f t="shared" si="301"/>
        <v>4</v>
      </c>
      <c r="E296" s="5">
        <f t="shared" si="301"/>
        <v>2</v>
      </c>
      <c r="F296" s="5">
        <f t="shared" si="301"/>
        <v>5.21</v>
      </c>
      <c r="G296" s="5">
        <f t="shared" si="301"/>
        <v>321</v>
      </c>
      <c r="H296" s="4">
        <f t="shared" si="301"/>
        <v>6.0029599999999995E-4</v>
      </c>
      <c r="I296" s="6">
        <f t="shared" si="301"/>
        <v>1.6674888888888888</v>
      </c>
      <c r="J296" s="6">
        <f t="shared" si="301"/>
        <v>1.50074</v>
      </c>
      <c r="R296" s="5">
        <f>+'Project Ostelliere'!R166</f>
        <v>2</v>
      </c>
      <c r="S296" s="6">
        <f>+'Project Ostelliere'!S166</f>
        <v>642</v>
      </c>
      <c r="T296" s="6">
        <f>+'Project Ostelliere'!T166</f>
        <v>3.3349777777777776</v>
      </c>
      <c r="U296" s="6">
        <f>+'Project Ostelliere'!U166</f>
        <v>3.0014799999999999</v>
      </c>
      <c r="V296" s="81">
        <f>+'Project Ostelliere'!V166</f>
        <v>5.4326799634858398</v>
      </c>
      <c r="W296" s="82">
        <f>+'Project Ostelliere'!W166</f>
        <v>2.0377047719999999E-2</v>
      </c>
      <c r="X296" s="82">
        <f>+'Project Ostelliere'!X166</f>
        <v>101.11500000000002</v>
      </c>
      <c r="Y296" s="82">
        <f>+'Project Ostelliere'!Y166</f>
        <v>37.801158301158303</v>
      </c>
      <c r="Z296" s="82">
        <f>+'Project Ostelliere'!Z166</f>
        <v>1.7049358768142857</v>
      </c>
      <c r="AA296" s="82">
        <f>+'Project Ostelliere'!AA166</f>
        <v>0.38659493530671857</v>
      </c>
      <c r="AB296" s="82">
        <f>+'Project Ostelliere'!AB166</f>
        <v>0</v>
      </c>
      <c r="AC296" s="83">
        <f t="shared" ref="AC296:AC317" si="302">SUM(V296:AB296)</f>
        <v>146.46074612448518</v>
      </c>
      <c r="AD296" s="93">
        <f t="shared" ref="AD296:AD317" si="303">+AC296/R296</f>
        <v>73.230373062242592</v>
      </c>
      <c r="AE296" s="93">
        <f t="shared" ref="AE296:AE317" si="304">+AE267</f>
        <v>250</v>
      </c>
      <c r="AF296" s="90">
        <f t="shared" ref="AF296:AF317" si="305">+AE296-AD296</f>
        <v>176.76962693775741</v>
      </c>
      <c r="AG296" s="91">
        <f t="shared" ref="AG296:AG317" si="306">+AF296/AD296</f>
        <v>2.4138840148678611</v>
      </c>
      <c r="AH296" s="92">
        <f t="shared" ref="AH296:AH317" si="307">+AE296*R296</f>
        <v>500</v>
      </c>
    </row>
    <row r="297" spans="1:35" x14ac:dyDescent="0.3">
      <c r="A297" s="223"/>
      <c r="B297" s="4" t="str">
        <f t="shared" ref="B297:J297" si="308">+B268</f>
        <v>OSTELLIERE</v>
      </c>
      <c r="C297" s="4" t="str">
        <f t="shared" si="308"/>
        <v>Vaso bitorzolo twist</v>
      </c>
      <c r="D297" s="5">
        <f t="shared" si="308"/>
        <v>4</v>
      </c>
      <c r="E297" s="5">
        <f t="shared" si="308"/>
        <v>2</v>
      </c>
      <c r="F297" s="5">
        <f t="shared" si="308"/>
        <v>5.15</v>
      </c>
      <c r="G297" s="5">
        <f t="shared" si="308"/>
        <v>315</v>
      </c>
      <c r="H297" s="4">
        <f t="shared" si="308"/>
        <v>8.005105E-4</v>
      </c>
      <c r="I297" s="6">
        <f t="shared" si="308"/>
        <v>2.2236402777777777</v>
      </c>
      <c r="J297" s="6">
        <f t="shared" si="308"/>
        <v>2.0012762500000001</v>
      </c>
      <c r="R297" s="5">
        <f>+'Project Ostelliere'!R167</f>
        <v>2</v>
      </c>
      <c r="S297" s="6">
        <f>+'Project Ostelliere'!S167</f>
        <v>630</v>
      </c>
      <c r="T297" s="6">
        <f>+'Project Ostelliere'!T167</f>
        <v>4.4472805555555555</v>
      </c>
      <c r="U297" s="6">
        <f>+'Project Ostelliere'!U167</f>
        <v>4.0025525000000002</v>
      </c>
      <c r="V297" s="81">
        <f>+'Project Ostelliere'!V167</f>
        <v>5.3311345436076003</v>
      </c>
      <c r="W297" s="82">
        <f>+'Project Ostelliere'!W167</f>
        <v>2.71733289225E-2</v>
      </c>
      <c r="X297" s="82">
        <f>+'Project Ostelliere'!X167</f>
        <v>99.225000000000023</v>
      </c>
      <c r="Y297" s="82">
        <f>+'Project Ostelliere'!Y167</f>
        <v>37.094594594594597</v>
      </c>
      <c r="Z297" s="82">
        <f>+'Project Ostelliere'!Z167</f>
        <v>1.6730679165000002</v>
      </c>
      <c r="AA297" s="82">
        <f>+'Project Ostelliere'!AA167</f>
        <v>0.51553451124086935</v>
      </c>
      <c r="AB297" s="82">
        <f>+'Project Ostelliere'!AB167</f>
        <v>0</v>
      </c>
      <c r="AC297" s="83">
        <f t="shared" si="302"/>
        <v>143.86650489486561</v>
      </c>
      <c r="AD297" s="93">
        <f t="shared" si="303"/>
        <v>71.933252447432807</v>
      </c>
      <c r="AE297" s="93">
        <f t="shared" si="304"/>
        <v>250</v>
      </c>
      <c r="AF297" s="90">
        <f t="shared" si="305"/>
        <v>178.06674755256719</v>
      </c>
      <c r="AG297" s="91">
        <f t="shared" si="306"/>
        <v>2.475444130413738</v>
      </c>
      <c r="AH297" s="92">
        <f t="shared" si="307"/>
        <v>500</v>
      </c>
    </row>
    <row r="298" spans="1:35" x14ac:dyDescent="0.3">
      <c r="A298" s="223"/>
      <c r="B298" s="4" t="str">
        <f t="shared" ref="B298:J298" si="309">+B269</f>
        <v>OSTELLIERE</v>
      </c>
      <c r="C298" s="4" t="str">
        <f t="shared" si="309"/>
        <v>Vaso bitorzolo dritto</v>
      </c>
      <c r="D298" s="5">
        <f t="shared" si="309"/>
        <v>4</v>
      </c>
      <c r="E298" s="5">
        <f t="shared" si="309"/>
        <v>2</v>
      </c>
      <c r="F298" s="5">
        <f t="shared" si="309"/>
        <v>4.4800000000000004</v>
      </c>
      <c r="G298" s="5">
        <f t="shared" si="309"/>
        <v>288</v>
      </c>
      <c r="H298" s="4">
        <f t="shared" si="309"/>
        <v>8.2321687099999998E-4</v>
      </c>
      <c r="I298" s="6">
        <f t="shared" si="309"/>
        <v>2.2867135305555553</v>
      </c>
      <c r="J298" s="6">
        <f t="shared" si="309"/>
        <v>2.0580421775</v>
      </c>
      <c r="R298" s="5">
        <f>+'Project Ostelliere'!R168</f>
        <v>2</v>
      </c>
      <c r="S298" s="6">
        <f>+'Project Ostelliere'!S168</f>
        <v>576</v>
      </c>
      <c r="T298" s="6">
        <f>+'Project Ostelliere'!T168</f>
        <v>4.5734270611111105</v>
      </c>
      <c r="U298" s="6">
        <f>+'Project Ostelliere'!U168</f>
        <v>4.1160843549999999</v>
      </c>
      <c r="V298" s="81">
        <f>+'Project Ostelliere'!V168</f>
        <v>4.8741801541555203</v>
      </c>
      <c r="W298" s="82">
        <f>+'Project Ostelliere'!W168</f>
        <v>2.7944096686094998E-2</v>
      </c>
      <c r="X298" s="82">
        <f>+'Project Ostelliere'!X168</f>
        <v>90.720000000000013</v>
      </c>
      <c r="Y298" s="82">
        <f>+'Project Ostelliere'!Y168</f>
        <v>33.915057915057915</v>
      </c>
      <c r="Z298" s="82">
        <f>+'Project Ostelliere'!Z168</f>
        <v>1.5296620950857143</v>
      </c>
      <c r="AA298" s="82">
        <f>+'Project Ostelliere'!AA168</f>
        <v>0.53015757724130141</v>
      </c>
      <c r="AB298" s="82">
        <f>+'Project Ostelliere'!AB168</f>
        <v>0</v>
      </c>
      <c r="AC298" s="83">
        <f t="shared" si="302"/>
        <v>131.59700183822656</v>
      </c>
      <c r="AD298" s="93">
        <f t="shared" si="303"/>
        <v>65.79850091911328</v>
      </c>
      <c r="AE298" s="93">
        <f t="shared" si="304"/>
        <v>250</v>
      </c>
      <c r="AF298" s="90">
        <f t="shared" si="305"/>
        <v>184.20149908088672</v>
      </c>
      <c r="AG298" s="91">
        <f t="shared" si="306"/>
        <v>2.7994786584473612</v>
      </c>
      <c r="AH298" s="92">
        <f t="shared" si="307"/>
        <v>500</v>
      </c>
    </row>
    <row r="299" spans="1:35" x14ac:dyDescent="0.3">
      <c r="A299" s="223"/>
      <c r="B299" s="4" t="str">
        <f t="shared" ref="B299:J299" si="310">+B270</f>
        <v>OSTELLIERE</v>
      </c>
      <c r="C299" s="4" t="str">
        <f t="shared" si="310"/>
        <v>Porta riviste</v>
      </c>
      <c r="D299" s="5">
        <f t="shared" si="310"/>
        <v>10</v>
      </c>
      <c r="E299" s="5">
        <f t="shared" si="310"/>
        <v>10</v>
      </c>
      <c r="F299" s="5">
        <f t="shared" si="310"/>
        <v>0.42</v>
      </c>
      <c r="G299" s="5">
        <f t="shared" si="310"/>
        <v>42</v>
      </c>
      <c r="H299" s="4">
        <f t="shared" si="310"/>
        <v>3.5606798E-3</v>
      </c>
      <c r="I299" s="6">
        <f t="shared" si="310"/>
        <v>9.890777222222221</v>
      </c>
      <c r="J299" s="6">
        <f t="shared" si="310"/>
        <v>8.9016994999999994</v>
      </c>
      <c r="R299" s="5">
        <f>+'Project Ostelliere'!R169</f>
        <v>2</v>
      </c>
      <c r="S299" s="6">
        <f>+'Project Ostelliere'!S169</f>
        <v>84</v>
      </c>
      <c r="T299" s="6">
        <f>+'Project Ostelliere'!T169</f>
        <v>19.781554444444442</v>
      </c>
      <c r="U299" s="6">
        <f>+'Project Ostelliere'!U169</f>
        <v>17.803398999999999</v>
      </c>
      <c r="V299" s="81">
        <f>+'Project Ostelliere'!V169</f>
        <v>0.71081793914767988</v>
      </c>
      <c r="W299" s="82">
        <f>+'Project Ostelliere'!W169</f>
        <v>0.12086727581099999</v>
      </c>
      <c r="X299" s="82">
        <f>+'Project Ostelliere'!X169</f>
        <v>13.230000000000002</v>
      </c>
      <c r="Y299" s="82">
        <f>+'Project Ostelliere'!Y169</f>
        <v>4.9459459459459456</v>
      </c>
      <c r="Z299" s="82">
        <f>+'Project Ostelliere'!Z169</f>
        <v>0.22307572219999999</v>
      </c>
      <c r="AA299" s="82">
        <f>+'Project Ostelliere'!AA169</f>
        <v>2.2931033638887142</v>
      </c>
      <c r="AB299" s="82">
        <f>+'Project Ostelliere'!AB169</f>
        <v>0</v>
      </c>
      <c r="AC299" s="83">
        <f t="shared" si="302"/>
        <v>21.523810246993346</v>
      </c>
      <c r="AD299" s="93">
        <f t="shared" si="303"/>
        <v>10.761905123496673</v>
      </c>
      <c r="AE299" s="93">
        <f t="shared" si="304"/>
        <v>130</v>
      </c>
      <c r="AF299" s="90">
        <f t="shared" si="305"/>
        <v>119.23809487650333</v>
      </c>
      <c r="AG299" s="91">
        <f t="shared" si="306"/>
        <v>11.079645611832103</v>
      </c>
      <c r="AH299" s="92">
        <f t="shared" si="307"/>
        <v>260</v>
      </c>
    </row>
    <row r="300" spans="1:35" x14ac:dyDescent="0.3">
      <c r="A300" s="223"/>
      <c r="B300" s="4" t="str">
        <f t="shared" ref="B300:J300" si="311">+B271</f>
        <v>OSTELLIERE</v>
      </c>
      <c r="C300" s="4" t="str">
        <f t="shared" si="311"/>
        <v>Lampada 90 grossa</v>
      </c>
      <c r="D300" s="5">
        <f t="shared" si="311"/>
        <v>8</v>
      </c>
      <c r="E300" s="5">
        <f t="shared" si="311"/>
        <v>10</v>
      </c>
      <c r="F300" s="5">
        <f t="shared" si="311"/>
        <v>1.39</v>
      </c>
      <c r="G300" s="5">
        <f t="shared" si="311"/>
        <v>99</v>
      </c>
      <c r="H300" s="4">
        <f t="shared" si="311"/>
        <v>1.7366300000000001E-3</v>
      </c>
      <c r="I300" s="6">
        <f t="shared" si="311"/>
        <v>4.8239722222222232</v>
      </c>
      <c r="J300" s="6">
        <f t="shared" si="311"/>
        <v>4.3415750000000006</v>
      </c>
      <c r="R300" s="5">
        <f>+'Project Ostelliere'!R170</f>
        <v>1</v>
      </c>
      <c r="S300" s="6">
        <f>+'Project Ostelliere'!S170</f>
        <v>99</v>
      </c>
      <c r="T300" s="6">
        <f>+'Project Ostelliere'!T170</f>
        <v>4.8239722222222232</v>
      </c>
      <c r="U300" s="6">
        <f>+'Project Ostelliere'!U170</f>
        <v>4.3415750000000006</v>
      </c>
      <c r="V300" s="81">
        <f>+'Project Ostelliere'!V170</f>
        <v>0.83774971399547993</v>
      </c>
      <c r="W300" s="82">
        <f>+'Project Ostelliere'!W170</f>
        <v>2.9474952675000003E-2</v>
      </c>
      <c r="X300" s="82">
        <f>+'Project Ostelliere'!X170</f>
        <v>15.592500000000003</v>
      </c>
      <c r="Y300" s="82">
        <f>+'Project Ostelliere'!Y170</f>
        <v>5.8291505791505793</v>
      </c>
      <c r="Z300" s="82">
        <f>+'Project Ostelliere'!Z170</f>
        <v>0.26291067259285716</v>
      </c>
      <c r="AA300" s="82">
        <f>+'Project Ostelliere'!AA170</f>
        <v>0.55920109621062508</v>
      </c>
      <c r="AB300" s="82">
        <f>+'Project Ostelliere'!AB170</f>
        <v>24</v>
      </c>
      <c r="AC300" s="83">
        <f t="shared" si="302"/>
        <v>47.110987014624541</v>
      </c>
      <c r="AD300" s="93">
        <f t="shared" si="303"/>
        <v>47.110987014624541</v>
      </c>
      <c r="AE300" s="93">
        <f t="shared" si="304"/>
        <v>400</v>
      </c>
      <c r="AF300" s="90">
        <f t="shared" si="305"/>
        <v>352.88901298537547</v>
      </c>
      <c r="AG300" s="91">
        <f t="shared" si="306"/>
        <v>7.4905884029945931</v>
      </c>
      <c r="AH300" s="92">
        <f t="shared" si="307"/>
        <v>400</v>
      </c>
    </row>
    <row r="301" spans="1:35" x14ac:dyDescent="0.3">
      <c r="A301" s="223"/>
      <c r="B301" s="4" t="str">
        <f t="shared" ref="B301:J301" si="312">+B272</f>
        <v>OSTELLIERE</v>
      </c>
      <c r="C301" s="4" t="str">
        <f t="shared" si="312"/>
        <v>Lampada 90 piccola</v>
      </c>
      <c r="D301" s="5">
        <f t="shared" si="312"/>
        <v>5</v>
      </c>
      <c r="E301" s="5">
        <f t="shared" si="312"/>
        <v>10</v>
      </c>
      <c r="F301" s="5">
        <f t="shared" si="312"/>
        <v>1.1499999999999999</v>
      </c>
      <c r="G301" s="5">
        <f t="shared" si="312"/>
        <v>75</v>
      </c>
      <c r="H301" s="4">
        <f t="shared" si="312"/>
        <v>8.1557296000000004E-4</v>
      </c>
      <c r="I301" s="6">
        <f t="shared" si="312"/>
        <v>2.2654804444444445</v>
      </c>
      <c r="J301" s="6">
        <f t="shared" si="312"/>
        <v>2.0389324000000002</v>
      </c>
      <c r="R301" s="5">
        <f>+'Project Ostelliere'!R171</f>
        <v>6</v>
      </c>
      <c r="S301" s="6">
        <f>+'Project Ostelliere'!S171</f>
        <v>450</v>
      </c>
      <c r="T301" s="6">
        <f>+'Project Ostelliere'!T171</f>
        <v>13.592882666666668</v>
      </c>
      <c r="U301" s="6">
        <f>+'Project Ostelliere'!U171</f>
        <v>12.233594400000001</v>
      </c>
      <c r="V301" s="81">
        <f>+'Project Ostelliere'!V171</f>
        <v>3.8079532454339997</v>
      </c>
      <c r="W301" s="82">
        <f>+'Project Ostelliere'!W171</f>
        <v>8.3053872381600002E-2</v>
      </c>
      <c r="X301" s="82">
        <f>+'Project Ostelliere'!X171</f>
        <v>70.875000000000014</v>
      </c>
      <c r="Y301" s="82">
        <f>+'Project Ostelliere'!Y171</f>
        <v>26.496138996138995</v>
      </c>
      <c r="Z301" s="82">
        <f>+'Project Ostelliere'!Z171</f>
        <v>1.1950485117857144</v>
      </c>
      <c r="AA301" s="82">
        <f>+'Project Ostelliere'!AA171</f>
        <v>1.5757045309769298</v>
      </c>
      <c r="AB301" s="82">
        <f>+'Project Ostelliere'!AB171</f>
        <v>144</v>
      </c>
      <c r="AC301" s="83">
        <f t="shared" si="302"/>
        <v>248.03289915671726</v>
      </c>
      <c r="AD301" s="93">
        <f t="shared" si="303"/>
        <v>41.338816526119544</v>
      </c>
      <c r="AE301" s="93">
        <f t="shared" si="304"/>
        <v>200</v>
      </c>
      <c r="AF301" s="90">
        <f t="shared" si="305"/>
        <v>158.66118347388044</v>
      </c>
      <c r="AG301" s="91">
        <f t="shared" si="306"/>
        <v>3.8380678695441572</v>
      </c>
      <c r="AH301" s="92">
        <f t="shared" si="307"/>
        <v>1200</v>
      </c>
    </row>
    <row r="302" spans="1:35" x14ac:dyDescent="0.3">
      <c r="A302" s="223"/>
      <c r="B302" s="4" t="str">
        <f t="shared" ref="B302:J302" si="313">+B273</f>
        <v>OSTELLIERE</v>
      </c>
      <c r="C302" s="4" t="str">
        <f t="shared" si="313"/>
        <v>Vaso Logo</v>
      </c>
      <c r="D302" s="5">
        <f t="shared" si="313"/>
        <v>5</v>
      </c>
      <c r="E302" s="5">
        <f t="shared" si="313"/>
        <v>10</v>
      </c>
      <c r="F302" s="5">
        <f t="shared" si="313"/>
        <v>0.39</v>
      </c>
      <c r="G302" s="5">
        <f t="shared" si="313"/>
        <v>39</v>
      </c>
      <c r="H302" s="4">
        <f t="shared" si="313"/>
        <v>1.1639584900000001E-3</v>
      </c>
      <c r="I302" s="6">
        <f t="shared" si="313"/>
        <v>3.2332180277777778</v>
      </c>
      <c r="J302" s="6">
        <f t="shared" si="313"/>
        <v>2.9098962250000002</v>
      </c>
      <c r="R302" s="5">
        <f>+'Project Ostelliere'!R172</f>
        <v>3</v>
      </c>
      <c r="S302" s="6">
        <f>+'Project Ostelliere'!S172</f>
        <v>117</v>
      </c>
      <c r="T302" s="6">
        <f>+'Project Ostelliere'!T172</f>
        <v>9.6996540833333338</v>
      </c>
      <c r="U302" s="6">
        <f>+'Project Ostelliere'!U172</f>
        <v>8.7296886750000002</v>
      </c>
      <c r="V302" s="81">
        <f>+'Project Ostelliere'!V172</f>
        <v>0.99006784381283996</v>
      </c>
      <c r="W302" s="82">
        <f>+'Project Ostelliere'!W172</f>
        <v>5.9265856414574998E-2</v>
      </c>
      <c r="X302" s="82">
        <f>+'Project Ostelliere'!X172</f>
        <v>18.427500000000002</v>
      </c>
      <c r="Y302" s="82">
        <f>+'Project Ostelliere'!Y172</f>
        <v>6.8889961389961387</v>
      </c>
      <c r="Z302" s="82">
        <f>+'Project Ostelliere'!Z172</f>
        <v>0.31071261306428571</v>
      </c>
      <c r="AA302" s="82">
        <f>+'Project Ostelliere'!AA172</f>
        <v>1.1243964406091058</v>
      </c>
      <c r="AB302" s="82">
        <f>+'Project Ostelliere'!AB172</f>
        <v>0</v>
      </c>
      <c r="AC302" s="83">
        <f t="shared" si="302"/>
        <v>27.800938892896948</v>
      </c>
      <c r="AD302" s="93">
        <f t="shared" si="303"/>
        <v>9.2669796309656487</v>
      </c>
      <c r="AE302" s="93">
        <f t="shared" si="304"/>
        <v>310</v>
      </c>
      <c r="AF302" s="90">
        <f t="shared" si="305"/>
        <v>300.73302036903436</v>
      </c>
      <c r="AG302" s="91">
        <f t="shared" si="306"/>
        <v>32.452107627833108</v>
      </c>
      <c r="AH302" s="92">
        <f t="shared" si="307"/>
        <v>930</v>
      </c>
    </row>
    <row r="303" spans="1:35" x14ac:dyDescent="0.3">
      <c r="A303" s="223"/>
      <c r="B303" s="4" t="str">
        <f t="shared" ref="B303:J303" si="314">+B274</f>
        <v>OSTELLIERE</v>
      </c>
      <c r="C303" s="4" t="str">
        <f t="shared" si="314"/>
        <v>Copri candela</v>
      </c>
      <c r="D303" s="5">
        <f t="shared" si="314"/>
        <v>4</v>
      </c>
      <c r="E303" s="5">
        <f t="shared" si="314"/>
        <v>5</v>
      </c>
      <c r="F303" s="5">
        <f t="shared" si="314"/>
        <v>0.34</v>
      </c>
      <c r="G303" s="5">
        <f t="shared" si="314"/>
        <v>34</v>
      </c>
      <c r="H303" s="4">
        <f t="shared" si="314"/>
        <v>2.3780405299999999E-4</v>
      </c>
      <c r="I303" s="6">
        <f t="shared" si="314"/>
        <v>0.66056681388888883</v>
      </c>
      <c r="J303" s="6">
        <f t="shared" si="314"/>
        <v>0.59451013249999995</v>
      </c>
      <c r="R303" s="5">
        <f>+'Project Ostelliere'!R173</f>
        <v>15</v>
      </c>
      <c r="S303" s="6">
        <f>+'Project Ostelliere'!S173</f>
        <v>510</v>
      </c>
      <c r="T303" s="6">
        <f>+'Project Ostelliere'!T173</f>
        <v>9.9085022083333332</v>
      </c>
      <c r="U303" s="6">
        <f>+'Project Ostelliere'!U173</f>
        <v>8.9176519874999993</v>
      </c>
      <c r="V303" s="81">
        <f>+'Project Ostelliere'!V173</f>
        <v>4.3156803448251999</v>
      </c>
      <c r="W303" s="82">
        <f>+'Project Ostelliere'!W173</f>
        <v>6.0541939343137494E-2</v>
      </c>
      <c r="X303" s="82">
        <f>+'Project Ostelliere'!X173</f>
        <v>80.325000000000017</v>
      </c>
      <c r="Y303" s="82">
        <f>+'Project Ostelliere'!Y173</f>
        <v>30.02895752895753</v>
      </c>
      <c r="Z303" s="82">
        <f>+'Project Ostelliere'!Z173</f>
        <v>1.3543883133571428</v>
      </c>
      <c r="AA303" s="82">
        <f>+'Project Ostelliere'!AA173</f>
        <v>1.1486063852484083</v>
      </c>
      <c r="AB303" s="82">
        <f>+'Project Ostelliere'!AB173</f>
        <v>0</v>
      </c>
      <c r="AC303" s="83">
        <f t="shared" si="302"/>
        <v>117.23317451173145</v>
      </c>
      <c r="AD303" s="93">
        <f t="shared" si="303"/>
        <v>7.8155449674487629</v>
      </c>
      <c r="AE303" s="93">
        <f t="shared" si="304"/>
        <v>20</v>
      </c>
      <c r="AF303" s="90">
        <f t="shared" si="305"/>
        <v>12.184455032551238</v>
      </c>
      <c r="AG303" s="91">
        <f t="shared" si="306"/>
        <v>1.5590026138034778</v>
      </c>
      <c r="AH303" s="92">
        <f t="shared" si="307"/>
        <v>300</v>
      </c>
    </row>
    <row r="304" spans="1:35" x14ac:dyDescent="0.3">
      <c r="A304" s="223"/>
      <c r="B304" s="4" t="str">
        <f t="shared" ref="B304:J304" si="315">+B275</f>
        <v>OSTELLIERE</v>
      </c>
      <c r="C304" s="4" t="str">
        <f t="shared" si="315"/>
        <v xml:space="preserve">Vaso Grosso </v>
      </c>
      <c r="D304" s="5">
        <f t="shared" si="315"/>
        <v>4</v>
      </c>
      <c r="E304" s="5">
        <f t="shared" si="315"/>
        <v>5</v>
      </c>
      <c r="F304" s="5">
        <f t="shared" si="315"/>
        <v>1.31</v>
      </c>
      <c r="G304" s="5">
        <f t="shared" si="315"/>
        <v>91</v>
      </c>
      <c r="H304" s="4">
        <f t="shared" si="315"/>
        <v>9.52764444E-4</v>
      </c>
      <c r="I304" s="6">
        <f t="shared" si="315"/>
        <v>2.6465679</v>
      </c>
      <c r="J304" s="6">
        <f t="shared" si="315"/>
        <v>2.3819111099999999</v>
      </c>
      <c r="R304" s="5">
        <f>+'Project Ostelliere'!R174</f>
        <v>2</v>
      </c>
      <c r="S304" s="6">
        <f>+'Project Ostelliere'!S174</f>
        <v>182</v>
      </c>
      <c r="T304" s="6">
        <f>+'Project Ostelliere'!T174</f>
        <v>5.2931357999999999</v>
      </c>
      <c r="U304" s="6">
        <f>+'Project Ostelliere'!U174</f>
        <v>4.7638222199999998</v>
      </c>
      <c r="V304" s="81">
        <f>+'Project Ostelliere'!V174</f>
        <v>1.5401055348199733</v>
      </c>
      <c r="W304" s="82">
        <f>+'Project Ostelliere'!W174</f>
        <v>3.2341589051580001E-2</v>
      </c>
      <c r="X304" s="82">
        <f>+'Project Ostelliere'!X174</f>
        <v>28.665000000000006</v>
      </c>
      <c r="Y304" s="82">
        <f>+'Project Ostelliere'!Y174</f>
        <v>10.716216216216216</v>
      </c>
      <c r="Z304" s="82">
        <f>+'Project Ostelliere'!Z174</f>
        <v>0.48333073143333333</v>
      </c>
      <c r="AA304" s="82">
        <f>+'Project Ostelliere'!AA174</f>
        <v>0.61358714465983732</v>
      </c>
      <c r="AB304" s="82">
        <f>+'Project Ostelliere'!AB174</f>
        <v>0</v>
      </c>
      <c r="AC304" s="83">
        <f t="shared" si="302"/>
        <v>42.050581216180944</v>
      </c>
      <c r="AD304" s="93">
        <f t="shared" si="303"/>
        <v>21.025290608090472</v>
      </c>
      <c r="AE304" s="93">
        <f t="shared" si="304"/>
        <v>200</v>
      </c>
      <c r="AF304" s="90">
        <f t="shared" si="305"/>
        <v>178.97470939190953</v>
      </c>
      <c r="AG304" s="91">
        <f t="shared" si="306"/>
        <v>8.5123536567452049</v>
      </c>
      <c r="AH304" s="92">
        <f t="shared" si="307"/>
        <v>400</v>
      </c>
    </row>
    <row r="305" spans="1:34" x14ac:dyDescent="0.3">
      <c r="A305" s="223"/>
      <c r="B305" s="4" t="str">
        <f t="shared" ref="B305:J305" si="316">+B276</f>
        <v>ORTO</v>
      </c>
      <c r="C305" s="4" t="str">
        <f t="shared" si="316"/>
        <v>Bicchiere curve dritto</v>
      </c>
      <c r="D305" s="5">
        <f t="shared" si="316"/>
        <v>2</v>
      </c>
      <c r="E305" s="5">
        <f t="shared" si="316"/>
        <v>2</v>
      </c>
      <c r="F305" s="5">
        <f t="shared" si="316"/>
        <v>0.26</v>
      </c>
      <c r="G305" s="5">
        <f t="shared" si="316"/>
        <v>26</v>
      </c>
      <c r="H305" s="4">
        <f t="shared" si="316"/>
        <v>1.6928511099999999E-4</v>
      </c>
      <c r="I305" s="6">
        <f t="shared" si="316"/>
        <v>0.47023641944444439</v>
      </c>
      <c r="J305" s="6">
        <f t="shared" si="316"/>
        <v>0.42321277749999997</v>
      </c>
      <c r="R305" s="5">
        <f>+'Project Orto'!R175</f>
        <v>12</v>
      </c>
      <c r="S305" s="6">
        <f>+'Project Orto'!S175</f>
        <v>312</v>
      </c>
      <c r="T305" s="6">
        <f>+'Project Orto'!T175</f>
        <v>5.6428370333333326</v>
      </c>
      <c r="U305" s="6">
        <f>+'Project Orto'!U175</f>
        <v>5.0785533300000001</v>
      </c>
      <c r="V305" s="81">
        <f>+'Project Orto'!V175</f>
        <v>2.6401809168342401</v>
      </c>
      <c r="W305" s="82">
        <f>+'Project Orto'!W175</f>
        <v>3.4478298557370002E-2</v>
      </c>
      <c r="X305" s="82">
        <f>+'Project Orto'!X175</f>
        <v>49.140000000000008</v>
      </c>
      <c r="Y305" s="82">
        <f>+'Project Orto'!Y175</f>
        <v>18.37065637065637</v>
      </c>
      <c r="Z305" s="82">
        <f>+'Project Orto'!Z175</f>
        <v>0.82856696817142861</v>
      </c>
      <c r="AA305" s="82">
        <f>+'Project Orto'!AA175</f>
        <v>0.65412496370559525</v>
      </c>
      <c r="AB305" s="82">
        <f>+'Project Orto'!AB175</f>
        <v>0</v>
      </c>
      <c r="AC305" s="83">
        <f t="shared" si="302"/>
        <v>71.668007517925005</v>
      </c>
      <c r="AD305" s="93">
        <f t="shared" si="303"/>
        <v>5.9723339598270835</v>
      </c>
      <c r="AE305" s="93">
        <f t="shared" si="304"/>
        <v>15</v>
      </c>
      <c r="AF305" s="90">
        <f t="shared" si="305"/>
        <v>9.0276660401729174</v>
      </c>
      <c r="AG305" s="91">
        <f t="shared" si="306"/>
        <v>1.5115809164218765</v>
      </c>
      <c r="AH305" s="92">
        <f t="shared" si="307"/>
        <v>180</v>
      </c>
    </row>
    <row r="306" spans="1:34" x14ac:dyDescent="0.3">
      <c r="A306" s="223"/>
      <c r="B306" s="4" t="str">
        <f t="shared" ref="B306:J306" si="317">+B277</f>
        <v>ORTO</v>
      </c>
      <c r="C306" s="4" t="str">
        <f t="shared" si="317"/>
        <v>Bicchiere curve twist</v>
      </c>
      <c r="D306" s="5">
        <f t="shared" si="317"/>
        <v>2</v>
      </c>
      <c r="E306" s="5">
        <f t="shared" si="317"/>
        <v>2</v>
      </c>
      <c r="F306" s="5">
        <f t="shared" si="317"/>
        <v>0.25</v>
      </c>
      <c r="G306" s="5">
        <f t="shared" si="317"/>
        <v>25</v>
      </c>
      <c r="H306" s="4">
        <f t="shared" si="317"/>
        <v>1.69285896E-4</v>
      </c>
      <c r="I306" s="6">
        <f t="shared" si="317"/>
        <v>0.47023859999999995</v>
      </c>
      <c r="J306" s="6">
        <f t="shared" si="317"/>
        <v>0.42321473999999998</v>
      </c>
      <c r="R306" s="5">
        <f>+'Project Orto'!R176</f>
        <v>12</v>
      </c>
      <c r="S306" s="6">
        <f>+'Project Orto'!S176</f>
        <v>300</v>
      </c>
      <c r="T306" s="6">
        <f>+'Project Orto'!T176</f>
        <v>5.642863199999999</v>
      </c>
      <c r="U306" s="6">
        <f>+'Project Orto'!U176</f>
        <v>5.07857688</v>
      </c>
      <c r="V306" s="81">
        <f>+'Project Orto'!V176</f>
        <v>2.5386354969559997</v>
      </c>
      <c r="W306" s="82">
        <f>+'Project Orto'!W176</f>
        <v>3.4478458438320002E-2</v>
      </c>
      <c r="X306" s="82">
        <f>+'Project Orto'!X176</f>
        <v>47.250000000000007</v>
      </c>
      <c r="Y306" s="82">
        <f>+'Project Orto'!Y176</f>
        <v>17.664092664092664</v>
      </c>
      <c r="Z306" s="82">
        <f>+'Project Orto'!Z176</f>
        <v>0.79669900785714287</v>
      </c>
      <c r="AA306" s="82">
        <f>+'Project Orto'!AA176</f>
        <v>0.65412799697942225</v>
      </c>
      <c r="AB306" s="82">
        <f>+'Project Orto'!AB176</f>
        <v>0</v>
      </c>
      <c r="AC306" s="83">
        <f t="shared" si="302"/>
        <v>68.938033624323552</v>
      </c>
      <c r="AD306" s="93">
        <f t="shared" si="303"/>
        <v>5.7448361353602957</v>
      </c>
      <c r="AE306" s="93">
        <f t="shared" si="304"/>
        <v>15</v>
      </c>
      <c r="AF306" s="90">
        <f t="shared" si="305"/>
        <v>9.2551638646397052</v>
      </c>
      <c r="AG306" s="91">
        <f t="shared" si="306"/>
        <v>1.6110405321524901</v>
      </c>
      <c r="AH306" s="92">
        <f t="shared" si="307"/>
        <v>180</v>
      </c>
    </row>
    <row r="307" spans="1:34" x14ac:dyDescent="0.3">
      <c r="A307" s="223"/>
      <c r="B307" s="4" t="str">
        <f t="shared" ref="B307:J307" si="318">+B278</f>
        <v>ORTO</v>
      </c>
      <c r="C307" s="4" t="str">
        <f t="shared" si="318"/>
        <v>Caraffa curva</v>
      </c>
      <c r="D307" s="5">
        <f t="shared" si="318"/>
        <v>2</v>
      </c>
      <c r="E307" s="5">
        <f t="shared" si="318"/>
        <v>2</v>
      </c>
      <c r="F307" s="5">
        <f t="shared" si="318"/>
        <v>0.56999999999999995</v>
      </c>
      <c r="G307" s="5">
        <f t="shared" si="318"/>
        <v>57</v>
      </c>
      <c r="H307" s="4">
        <f t="shared" si="318"/>
        <v>3.69342133E-4</v>
      </c>
      <c r="I307" s="6">
        <f t="shared" si="318"/>
        <v>1.0259503694444445</v>
      </c>
      <c r="J307" s="6">
        <f t="shared" si="318"/>
        <v>0.92335533250000001</v>
      </c>
      <c r="R307" s="5">
        <f>+'Project Orto'!R177</f>
        <v>2</v>
      </c>
      <c r="S307" s="6">
        <f>+'Project Orto'!S177</f>
        <v>114</v>
      </c>
      <c r="T307" s="6">
        <f>+'Project Orto'!T177</f>
        <v>2.051900738888889</v>
      </c>
      <c r="U307" s="6">
        <f>+'Project Orto'!U177</f>
        <v>1.846710665</v>
      </c>
      <c r="V307" s="81">
        <f>+'Project Orto'!V177</f>
        <v>0.96468148884327987</v>
      </c>
      <c r="W307" s="82">
        <f>+'Project Orto'!W177</f>
        <v>1.2537318704685E-2</v>
      </c>
      <c r="X307" s="82">
        <f>+'Project Orto'!X177</f>
        <v>17.955000000000002</v>
      </c>
      <c r="Y307" s="82">
        <f>+'Project Orto'!Y177</f>
        <v>6.7123552123552122</v>
      </c>
      <c r="Z307" s="82">
        <f>+'Project Orto'!Z177</f>
        <v>0.30274562298571428</v>
      </c>
      <c r="AA307" s="82">
        <f>+'Project Orto'!AA177</f>
        <v>0.23785898625541477</v>
      </c>
      <c r="AB307" s="82">
        <f>+'Project Orto'!AB177</f>
        <v>0</v>
      </c>
      <c r="AC307" s="83">
        <f t="shared" si="302"/>
        <v>26.185178629144307</v>
      </c>
      <c r="AD307" s="93">
        <f t="shared" si="303"/>
        <v>13.092589314572153</v>
      </c>
      <c r="AE307" s="93">
        <f t="shared" si="304"/>
        <v>30</v>
      </c>
      <c r="AF307" s="90">
        <f t="shared" si="305"/>
        <v>16.907410685427848</v>
      </c>
      <c r="AG307" s="91">
        <f t="shared" si="306"/>
        <v>1.2913725680381474</v>
      </c>
      <c r="AH307" s="92">
        <f t="shared" si="307"/>
        <v>60</v>
      </c>
    </row>
    <row r="308" spans="1:34" x14ac:dyDescent="0.3">
      <c r="A308" s="223"/>
      <c r="B308" s="4" t="str">
        <f t="shared" ref="B308:J308" si="319">+B279</f>
        <v>ORTO</v>
      </c>
      <c r="C308" s="4" t="str">
        <f t="shared" si="319"/>
        <v>Caraffa colonna dritta</v>
      </c>
      <c r="D308" s="5">
        <f t="shared" si="319"/>
        <v>2</v>
      </c>
      <c r="E308" s="5">
        <f t="shared" si="319"/>
        <v>1</v>
      </c>
      <c r="F308" s="5">
        <f t="shared" si="319"/>
        <v>1.4</v>
      </c>
      <c r="G308" s="5">
        <f t="shared" si="319"/>
        <v>100</v>
      </c>
      <c r="H308" s="4">
        <f t="shared" si="319"/>
        <v>3.2796365999999998E-4</v>
      </c>
      <c r="I308" s="6">
        <f t="shared" si="319"/>
        <v>0.91101016666666657</v>
      </c>
      <c r="J308" s="6">
        <f t="shared" si="319"/>
        <v>0.81990914999999998</v>
      </c>
      <c r="R308" s="5">
        <f>+'Project Orto'!R178</f>
        <v>2</v>
      </c>
      <c r="S308" s="6">
        <f>+'Project Orto'!S178</f>
        <v>200</v>
      </c>
      <c r="T308" s="6">
        <f>+'Project Orto'!T178</f>
        <v>1.8220203333333331</v>
      </c>
      <c r="U308" s="6">
        <f>+'Project Orto'!U178</f>
        <v>1.6398183</v>
      </c>
      <c r="V308" s="81">
        <f>+'Project Orto'!V178</f>
        <v>1.6924236646373332</v>
      </c>
      <c r="W308" s="82">
        <f>+'Project Orto'!W178</f>
        <v>1.1132726438699999E-2</v>
      </c>
      <c r="X308" s="82">
        <f>+'Project Orto'!X178</f>
        <v>31.500000000000007</v>
      </c>
      <c r="Y308" s="82">
        <f>+'Project Orto'!Y178</f>
        <v>11.776061776061777</v>
      </c>
      <c r="Z308" s="82">
        <f>+'Project Orto'!Z178</f>
        <v>0.53113267190476188</v>
      </c>
      <c r="AA308" s="82">
        <f>+'Project Orto'!AA178</f>
        <v>0.21121095246454188</v>
      </c>
      <c r="AB308" s="82">
        <f>+'Project Orto'!AB178</f>
        <v>0</v>
      </c>
      <c r="AC308" s="83">
        <f t="shared" si="302"/>
        <v>45.72196179150712</v>
      </c>
      <c r="AD308" s="93">
        <f t="shared" si="303"/>
        <v>22.86098089575356</v>
      </c>
      <c r="AE308" s="93">
        <f t="shared" si="304"/>
        <v>30</v>
      </c>
      <c r="AF308" s="90">
        <f t="shared" si="305"/>
        <v>7.1390191042464402</v>
      </c>
      <c r="AG308" s="91">
        <f t="shared" si="306"/>
        <v>0.31227964962660537</v>
      </c>
      <c r="AH308" s="92">
        <f t="shared" si="307"/>
        <v>60</v>
      </c>
    </row>
    <row r="309" spans="1:34" x14ac:dyDescent="0.3">
      <c r="A309" s="223"/>
      <c r="B309" s="4" t="str">
        <f t="shared" ref="B309:J309" si="320">+B280</f>
        <v>ORTO</v>
      </c>
      <c r="C309" s="4" t="str">
        <f t="shared" si="320"/>
        <v>Caraffa colonna twist1</v>
      </c>
      <c r="D309" s="5">
        <f t="shared" si="320"/>
        <v>2</v>
      </c>
      <c r="E309" s="5">
        <f t="shared" si="320"/>
        <v>1</v>
      </c>
      <c r="F309" s="5">
        <f t="shared" si="320"/>
        <v>1.41</v>
      </c>
      <c r="G309" s="5">
        <f t="shared" si="320"/>
        <v>101</v>
      </c>
      <c r="H309" s="4">
        <f t="shared" si="320"/>
        <v>3.323221E-4</v>
      </c>
      <c r="I309" s="6">
        <f t="shared" si="320"/>
        <v>0.92311694444444448</v>
      </c>
      <c r="J309" s="6">
        <f t="shared" si="320"/>
        <v>0.83080525000000005</v>
      </c>
      <c r="R309" s="5">
        <f>+'Project Orto'!R179</f>
        <v>2</v>
      </c>
      <c r="S309" s="6">
        <f>+'Project Orto'!S179</f>
        <v>202</v>
      </c>
      <c r="T309" s="6">
        <f>+'Project Orto'!T179</f>
        <v>1.846233888888889</v>
      </c>
      <c r="U309" s="6">
        <f>+'Project Orto'!U179</f>
        <v>1.6616105000000001</v>
      </c>
      <c r="V309" s="81">
        <f>+'Project Orto'!V179</f>
        <v>1.7093479012837065</v>
      </c>
      <c r="W309" s="82">
        <f>+'Project Orto'!W179</f>
        <v>1.12806736845E-2</v>
      </c>
      <c r="X309" s="82">
        <f>+'Project Orto'!X179</f>
        <v>31.815000000000005</v>
      </c>
      <c r="Y309" s="82">
        <f>+'Project Orto'!Y179</f>
        <v>11.893822393822393</v>
      </c>
      <c r="Z309" s="82">
        <f>+'Project Orto'!Z179</f>
        <v>0.53644399862380954</v>
      </c>
      <c r="AA309" s="82">
        <f>+'Project Orto'!AA179</f>
        <v>0.21401781912671894</v>
      </c>
      <c r="AB309" s="82">
        <f>+'Project Orto'!AB179</f>
        <v>0</v>
      </c>
      <c r="AC309" s="83">
        <f t="shared" si="302"/>
        <v>46.179912786541131</v>
      </c>
      <c r="AD309" s="93">
        <f t="shared" si="303"/>
        <v>23.089956393270565</v>
      </c>
      <c r="AE309" s="93">
        <f t="shared" si="304"/>
        <v>30</v>
      </c>
      <c r="AF309" s="90">
        <f t="shared" si="305"/>
        <v>6.9100436067294346</v>
      </c>
      <c r="AG309" s="91">
        <f t="shared" si="306"/>
        <v>0.29926620427673595</v>
      </c>
      <c r="AH309" s="92">
        <f t="shared" si="307"/>
        <v>60</v>
      </c>
    </row>
    <row r="310" spans="1:34" x14ac:dyDescent="0.3">
      <c r="A310" s="223"/>
      <c r="B310" s="4" t="str">
        <f t="shared" ref="B310:J310" si="321">+B281</f>
        <v>ORTO</v>
      </c>
      <c r="C310" s="4" t="str">
        <f t="shared" si="321"/>
        <v>Caraffa colonna twist2</v>
      </c>
      <c r="D310" s="5">
        <f t="shared" si="321"/>
        <v>2</v>
      </c>
      <c r="E310" s="5">
        <f t="shared" si="321"/>
        <v>1</v>
      </c>
      <c r="F310" s="5">
        <f t="shared" si="321"/>
        <v>1.45</v>
      </c>
      <c r="G310" s="5">
        <f t="shared" si="321"/>
        <v>105</v>
      </c>
      <c r="H310" s="4">
        <f t="shared" si="321"/>
        <v>3.4271101000000001E-4</v>
      </c>
      <c r="I310" s="6">
        <f t="shared" si="321"/>
        <v>0.95197502777777776</v>
      </c>
      <c r="J310" s="6">
        <f t="shared" si="321"/>
        <v>0.85677752500000004</v>
      </c>
      <c r="R310" s="5">
        <f>+'Project Orto'!R180</f>
        <v>2</v>
      </c>
      <c r="S310" s="6">
        <f>+'Project Orto'!S180</f>
        <v>210</v>
      </c>
      <c r="T310" s="6">
        <f>+'Project Orto'!T180</f>
        <v>1.9039500555555555</v>
      </c>
      <c r="U310" s="6">
        <f>+'Project Orto'!U180</f>
        <v>1.7135550500000001</v>
      </c>
      <c r="V310" s="81">
        <f>+'Project Orto'!V180</f>
        <v>1.7770448478691998</v>
      </c>
      <c r="W310" s="82">
        <f>+'Project Orto'!W180</f>
        <v>1.1633325234450001E-2</v>
      </c>
      <c r="X310" s="82">
        <f>+'Project Orto'!X180</f>
        <v>33.075000000000003</v>
      </c>
      <c r="Y310" s="82">
        <f>+'Project Orto'!Y180</f>
        <v>12.364864864864865</v>
      </c>
      <c r="Z310" s="82">
        <f>+'Project Orto'!Z180</f>
        <v>0.55768930550000007</v>
      </c>
      <c r="AA310" s="82">
        <f>+'Project Orto'!AA180</f>
        <v>0.22070835177953907</v>
      </c>
      <c r="AB310" s="82">
        <f>+'Project Orto'!AB180</f>
        <v>0</v>
      </c>
      <c r="AC310" s="83">
        <f t="shared" si="302"/>
        <v>48.006940695248055</v>
      </c>
      <c r="AD310" s="93">
        <f t="shared" si="303"/>
        <v>24.003470347624027</v>
      </c>
      <c r="AE310" s="93">
        <f t="shared" si="304"/>
        <v>30</v>
      </c>
      <c r="AF310" s="90">
        <f t="shared" si="305"/>
        <v>5.9965296523759726</v>
      </c>
      <c r="AG310" s="91">
        <f t="shared" si="306"/>
        <v>0.24981927885979771</v>
      </c>
      <c r="AH310" s="92">
        <f t="shared" si="307"/>
        <v>60</v>
      </c>
    </row>
    <row r="311" spans="1:34" x14ac:dyDescent="0.3">
      <c r="A311" s="223"/>
      <c r="B311" s="4" t="str">
        <f t="shared" ref="B311:J311" si="322">+B282</f>
        <v>ORTO</v>
      </c>
      <c r="C311" s="4" t="str">
        <f t="shared" si="322"/>
        <v>Caraffa colonna twist3</v>
      </c>
      <c r="D311" s="5">
        <f t="shared" si="322"/>
        <v>2</v>
      </c>
      <c r="E311" s="5">
        <f t="shared" si="322"/>
        <v>1</v>
      </c>
      <c r="F311" s="5">
        <f t="shared" si="322"/>
        <v>1.42</v>
      </c>
      <c r="G311" s="5">
        <f t="shared" si="322"/>
        <v>102</v>
      </c>
      <c r="H311" s="4">
        <f t="shared" si="322"/>
        <v>3.3727121999999998E-4</v>
      </c>
      <c r="I311" s="6">
        <f t="shared" si="322"/>
        <v>0.93686449999999988</v>
      </c>
      <c r="J311" s="6">
        <f t="shared" si="322"/>
        <v>0.8431780499999999</v>
      </c>
      <c r="R311" s="5">
        <f>+'Project Orto'!R181</f>
        <v>2</v>
      </c>
      <c r="S311" s="6">
        <f>+'Project Orto'!S181</f>
        <v>204</v>
      </c>
      <c r="T311" s="6">
        <f>+'Project Orto'!T181</f>
        <v>1.8737289999999998</v>
      </c>
      <c r="U311" s="6">
        <f>+'Project Orto'!U181</f>
        <v>1.6863560999999998</v>
      </c>
      <c r="V311" s="81">
        <f>+'Project Orto'!V181</f>
        <v>1.7262721379300801</v>
      </c>
      <c r="W311" s="82">
        <f>+'Project Orto'!W181</f>
        <v>1.1448671562899998E-2</v>
      </c>
      <c r="X311" s="82">
        <f>+'Project Orto'!X181</f>
        <v>32.130000000000003</v>
      </c>
      <c r="Y311" s="82">
        <f>+'Project Orto'!Y181</f>
        <v>12.011583011583012</v>
      </c>
      <c r="Z311" s="82">
        <f>+'Project Orto'!Z181</f>
        <v>0.5417553253428572</v>
      </c>
      <c r="AA311" s="82">
        <f>+'Project Orto'!AA181</f>
        <v>0.21720508795114082</v>
      </c>
      <c r="AB311" s="82">
        <f>+'Project Orto'!AB181</f>
        <v>0</v>
      </c>
      <c r="AC311" s="83">
        <f t="shared" si="302"/>
        <v>46.638264234369991</v>
      </c>
      <c r="AD311" s="93">
        <f t="shared" si="303"/>
        <v>23.319132117184996</v>
      </c>
      <c r="AE311" s="93">
        <f t="shared" si="304"/>
        <v>30</v>
      </c>
      <c r="AF311" s="90">
        <f t="shared" si="305"/>
        <v>6.6808678828150043</v>
      </c>
      <c r="AG311" s="91">
        <f t="shared" si="306"/>
        <v>0.28649727825383131</v>
      </c>
      <c r="AH311" s="92">
        <f t="shared" si="307"/>
        <v>60</v>
      </c>
    </row>
    <row r="312" spans="1:34" x14ac:dyDescent="0.3">
      <c r="A312" s="223"/>
      <c r="B312" s="4" t="str">
        <f t="shared" ref="B312:J312" si="323">+B283</f>
        <v>ORTO</v>
      </c>
      <c r="C312" s="4" t="str">
        <f t="shared" si="323"/>
        <v>Bicchiere colonna twist1</v>
      </c>
      <c r="D312" s="5">
        <f t="shared" si="323"/>
        <v>1</v>
      </c>
      <c r="E312" s="5">
        <f t="shared" si="323"/>
        <v>1</v>
      </c>
      <c r="F312" s="5">
        <f t="shared" si="323"/>
        <v>0.57999999999999996</v>
      </c>
      <c r="G312" s="5">
        <f t="shared" si="323"/>
        <v>58</v>
      </c>
      <c r="H312" s="4">
        <f t="shared" si="323"/>
        <v>9.7981700000000004E-5</v>
      </c>
      <c r="I312" s="6">
        <f t="shared" si="323"/>
        <v>0.27217138888888892</v>
      </c>
      <c r="J312" s="6">
        <f t="shared" si="323"/>
        <v>0.24495425000000001</v>
      </c>
      <c r="R312" s="5">
        <f>+'Project Orto'!R182</f>
        <v>12</v>
      </c>
      <c r="S312" s="6">
        <f>+'Project Orto'!S182</f>
        <v>696</v>
      </c>
      <c r="T312" s="6">
        <f>+'Project Orto'!T182</f>
        <v>3.2660566666666671</v>
      </c>
      <c r="U312" s="6">
        <f>+'Project Orto'!U182</f>
        <v>2.939451</v>
      </c>
      <c r="V312" s="81">
        <f>+'Project Orto'!V182</f>
        <v>5.8896343529379198</v>
      </c>
      <c r="W312" s="82">
        <f>+'Project Orto'!W182</f>
        <v>1.9955932839000001E-2</v>
      </c>
      <c r="X312" s="82">
        <f>+'Project Orto'!X182</f>
        <v>109.62000000000002</v>
      </c>
      <c r="Y312" s="82">
        <f>+'Project Orto'!Y182</f>
        <v>40.980694980694977</v>
      </c>
      <c r="Z312" s="82">
        <f>+'Project Orto'!Z182</f>
        <v>1.8483416982285714</v>
      </c>
      <c r="AA312" s="82">
        <f>+'Project Orto'!AA182</f>
        <v>0.37860551100865886</v>
      </c>
      <c r="AB312" s="82">
        <f>+'Project Orto'!AB182</f>
        <v>0</v>
      </c>
      <c r="AC312" s="83">
        <f t="shared" si="302"/>
        <v>158.73723247570913</v>
      </c>
      <c r="AD312" s="93">
        <f t="shared" si="303"/>
        <v>13.228102706309095</v>
      </c>
      <c r="AE312" s="93">
        <f t="shared" si="304"/>
        <v>15</v>
      </c>
      <c r="AF312" s="90">
        <f t="shared" si="305"/>
        <v>1.7718972936909054</v>
      </c>
      <c r="AG312" s="91">
        <f t="shared" si="306"/>
        <v>0.13394946599906618</v>
      </c>
      <c r="AH312" s="92">
        <f t="shared" si="307"/>
        <v>180</v>
      </c>
    </row>
    <row r="313" spans="1:34" x14ac:dyDescent="0.3">
      <c r="A313" s="223"/>
      <c r="B313" s="4" t="str">
        <f t="shared" ref="B313:J313" si="324">+B284</f>
        <v>ORTO</v>
      </c>
      <c r="C313" s="4" t="str">
        <f t="shared" si="324"/>
        <v>Bicchiere colonna twist2</v>
      </c>
      <c r="D313" s="5">
        <f t="shared" si="324"/>
        <v>1</v>
      </c>
      <c r="E313" s="5">
        <f t="shared" si="324"/>
        <v>1</v>
      </c>
      <c r="F313" s="5">
        <f t="shared" si="324"/>
        <v>0.59</v>
      </c>
      <c r="G313" s="5">
        <f t="shared" si="324"/>
        <v>59</v>
      </c>
      <c r="H313" s="4">
        <f t="shared" si="324"/>
        <v>9.7982366999999995E-5</v>
      </c>
      <c r="I313" s="6">
        <f t="shared" si="324"/>
        <v>0.27217324166666662</v>
      </c>
      <c r="J313" s="6">
        <f t="shared" si="324"/>
        <v>0.24495591749999998</v>
      </c>
      <c r="R313" s="5">
        <f>+'Project Orto'!R183</f>
        <v>12</v>
      </c>
      <c r="S313" s="6">
        <f>+'Project Orto'!S183</f>
        <v>708</v>
      </c>
      <c r="T313" s="6">
        <f>+'Project Orto'!T183</f>
        <v>3.2660788999999992</v>
      </c>
      <c r="U313" s="6">
        <f>+'Project Orto'!U183</f>
        <v>2.9394710099999997</v>
      </c>
      <c r="V313" s="81">
        <f>+'Project Orto'!V183</f>
        <v>5.9911797728161593</v>
      </c>
      <c r="W313" s="82">
        <f>+'Project Orto'!W183</f>
        <v>1.9956068686889997E-2</v>
      </c>
      <c r="X313" s="82">
        <f>+'Project Orto'!X183</f>
        <v>111.51000000000002</v>
      </c>
      <c r="Y313" s="82">
        <f>+'Project Orto'!Y183</f>
        <v>41.687258687258691</v>
      </c>
      <c r="Z313" s="82">
        <f>+'Project Orto'!Z183</f>
        <v>1.8802096585428572</v>
      </c>
      <c r="AA313" s="82">
        <f>+'Project Orto'!AA183</f>
        <v>0.37860808832540094</v>
      </c>
      <c r="AB313" s="82">
        <f>+'Project Orto'!AB183</f>
        <v>0</v>
      </c>
      <c r="AC313" s="83">
        <f t="shared" si="302"/>
        <v>161.46721227563</v>
      </c>
      <c r="AD313" s="93">
        <f t="shared" si="303"/>
        <v>13.455601022969168</v>
      </c>
      <c r="AE313" s="93">
        <f t="shared" si="304"/>
        <v>15</v>
      </c>
      <c r="AF313" s="90">
        <f t="shared" si="305"/>
        <v>1.5443989770308324</v>
      </c>
      <c r="AG313" s="91">
        <f t="shared" si="306"/>
        <v>0.11477740566136667</v>
      </c>
      <c r="AH313" s="92">
        <f t="shared" si="307"/>
        <v>180</v>
      </c>
    </row>
    <row r="314" spans="1:34" x14ac:dyDescent="0.3">
      <c r="A314" s="223"/>
      <c r="B314" s="4" t="str">
        <f t="shared" ref="B314:J314" si="325">+B285</f>
        <v>ORTO</v>
      </c>
      <c r="C314" s="4" t="str">
        <f t="shared" si="325"/>
        <v>Bicchiere colonna twist3</v>
      </c>
      <c r="D314" s="5">
        <f t="shared" si="325"/>
        <v>1</v>
      </c>
      <c r="E314" s="5">
        <f t="shared" si="325"/>
        <v>1</v>
      </c>
      <c r="F314" s="5">
        <f t="shared" si="325"/>
        <v>0.59</v>
      </c>
      <c r="G314" s="5">
        <f t="shared" si="325"/>
        <v>59</v>
      </c>
      <c r="H314" s="4">
        <f t="shared" si="325"/>
        <v>9.7984652999999995E-5</v>
      </c>
      <c r="I314" s="6">
        <f t="shared" si="325"/>
        <v>0.27217959166666666</v>
      </c>
      <c r="J314" s="6">
        <f t="shared" si="325"/>
        <v>0.2449616325</v>
      </c>
      <c r="R314" s="5">
        <f>+'Project Orto'!R184</f>
        <v>12</v>
      </c>
      <c r="S314" s="6">
        <f>+'Project Orto'!S184</f>
        <v>708</v>
      </c>
      <c r="T314" s="6">
        <f>+'Project Orto'!T184</f>
        <v>3.2661550999999998</v>
      </c>
      <c r="U314" s="6">
        <f>+'Project Orto'!U184</f>
        <v>2.9395395899999999</v>
      </c>
      <c r="V314" s="81">
        <f>+'Project Orto'!V184</f>
        <v>5.9911797728161593</v>
      </c>
      <c r="W314" s="82">
        <f>+'Project Orto'!W184</f>
        <v>1.995653427651E-2</v>
      </c>
      <c r="X314" s="82">
        <f>+'Project Orto'!X184</f>
        <v>111.51000000000002</v>
      </c>
      <c r="Y314" s="82">
        <f>+'Project Orto'!Y184</f>
        <v>41.687258687258691</v>
      </c>
      <c r="Z314" s="82">
        <f>+'Project Orto'!Z184</f>
        <v>1.8802096585428572</v>
      </c>
      <c r="AA314" s="82">
        <f>+'Project Orto'!AA184</f>
        <v>0.37861692152790888</v>
      </c>
      <c r="AB314" s="82">
        <f>+'Project Orto'!AB184</f>
        <v>0</v>
      </c>
      <c r="AC314" s="83">
        <f t="shared" si="302"/>
        <v>161.46722157442215</v>
      </c>
      <c r="AD314" s="93">
        <f t="shared" si="303"/>
        <v>13.455601797868512</v>
      </c>
      <c r="AE314" s="93">
        <f t="shared" si="304"/>
        <v>15</v>
      </c>
      <c r="AF314" s="90">
        <f t="shared" si="305"/>
        <v>1.5443982021314877</v>
      </c>
      <c r="AG314" s="91">
        <f t="shared" si="306"/>
        <v>0.11477734146206187</v>
      </c>
      <c r="AH314" s="92">
        <f t="shared" si="307"/>
        <v>180</v>
      </c>
    </row>
    <row r="315" spans="1:34" x14ac:dyDescent="0.3">
      <c r="A315" s="223"/>
      <c r="B315" s="4" t="str">
        <f t="shared" ref="B315:J315" si="326">+B286</f>
        <v>ORTO</v>
      </c>
      <c r="C315" s="4" t="str">
        <f t="shared" si="326"/>
        <v>Bicchiere colonna twist alto</v>
      </c>
      <c r="D315" s="5">
        <f t="shared" si="326"/>
        <v>1</v>
      </c>
      <c r="E315" s="5">
        <f t="shared" si="326"/>
        <v>1</v>
      </c>
      <c r="F315" s="5">
        <f t="shared" si="326"/>
        <v>0.57999999999999996</v>
      </c>
      <c r="G315" s="5">
        <f t="shared" si="326"/>
        <v>58</v>
      </c>
      <c r="H315" s="4">
        <f t="shared" si="326"/>
        <v>9.4065272999999995E-5</v>
      </c>
      <c r="I315" s="6">
        <f t="shared" si="326"/>
        <v>0.26129242499999999</v>
      </c>
      <c r="J315" s="6">
        <f t="shared" si="326"/>
        <v>0.23516318249999998</v>
      </c>
      <c r="R315" s="5">
        <f>+'Project Orto'!R185</f>
        <v>12</v>
      </c>
      <c r="S315" s="6">
        <f>+'Project Orto'!S185</f>
        <v>696</v>
      </c>
      <c r="T315" s="6">
        <f>+'Project Orto'!T185</f>
        <v>3.1355091000000002</v>
      </c>
      <c r="U315" s="6">
        <f>+'Project Orto'!U185</f>
        <v>2.8219581899999997</v>
      </c>
      <c r="V315" s="81">
        <f>+'Project Orto'!V185</f>
        <v>5.8896343529379198</v>
      </c>
      <c r="W315" s="82">
        <f>+'Project Orto'!W185</f>
        <v>1.9158274151909998E-2</v>
      </c>
      <c r="X315" s="82">
        <f>+'Project Orto'!X185</f>
        <v>109.62000000000002</v>
      </c>
      <c r="Y315" s="82">
        <f>+'Project Orto'!Y185</f>
        <v>40.980694980694977</v>
      </c>
      <c r="Z315" s="82">
        <f>+'Project Orto'!Z185</f>
        <v>1.8483416982285714</v>
      </c>
      <c r="AA315" s="82">
        <f>+'Project Orto'!AA185</f>
        <v>0.36347226831473628</v>
      </c>
      <c r="AB315" s="82">
        <f>+'Project Orto'!AB185</f>
        <v>0</v>
      </c>
      <c r="AC315" s="83">
        <f t="shared" si="302"/>
        <v>158.72130157432812</v>
      </c>
      <c r="AD315" s="93">
        <f t="shared" si="303"/>
        <v>13.22677513119401</v>
      </c>
      <c r="AE315" s="93">
        <f t="shared" si="304"/>
        <v>15</v>
      </c>
      <c r="AF315" s="90">
        <f t="shared" si="305"/>
        <v>1.7732248688059897</v>
      </c>
      <c r="AG315" s="91">
        <f t="shared" si="306"/>
        <v>0.13406328082376015</v>
      </c>
      <c r="AH315" s="92">
        <f t="shared" si="307"/>
        <v>180</v>
      </c>
    </row>
    <row r="316" spans="1:34" x14ac:dyDescent="0.3">
      <c r="A316" s="223"/>
      <c r="B316" s="4" t="str">
        <f t="shared" ref="B316:J316" si="327">+B287</f>
        <v>LA GALLINA</v>
      </c>
      <c r="C316" s="4" t="str">
        <f t="shared" si="327"/>
        <v>Oliera1</v>
      </c>
      <c r="D316" s="5">
        <f t="shared" si="327"/>
        <v>2</v>
      </c>
      <c r="E316" s="5">
        <f t="shared" si="327"/>
        <v>1</v>
      </c>
      <c r="F316" s="5">
        <f t="shared" si="327"/>
        <v>0.54</v>
      </c>
      <c r="G316" s="5">
        <f t="shared" si="327"/>
        <v>54</v>
      </c>
      <c r="H316" s="4">
        <f t="shared" si="327"/>
        <v>1.830542E-4</v>
      </c>
      <c r="I316" s="6">
        <f t="shared" si="327"/>
        <v>0.50848388888888885</v>
      </c>
      <c r="J316" s="6">
        <f t="shared" si="327"/>
        <v>0.45763549999999997</v>
      </c>
      <c r="R316" s="5">
        <f>+'Project La Gallina'!R85</f>
        <v>10</v>
      </c>
      <c r="S316" s="6">
        <f>+'Project La Gallina'!S85</f>
        <v>540</v>
      </c>
      <c r="T316" s="6">
        <f>+'Project La Gallina'!T85</f>
        <v>5.0848388888888882</v>
      </c>
      <c r="U316" s="6">
        <f>+'Project La Gallina'!U85</f>
        <v>4.5763549999999995</v>
      </c>
      <c r="V316" s="81">
        <f>+'Project La Gallina'!V85</f>
        <v>4.5695438945208</v>
      </c>
      <c r="W316" s="82">
        <f>+'Project La Gallina'!W85</f>
        <v>3.1068874094999997E-2</v>
      </c>
      <c r="X316" s="82">
        <f>+'Project La Gallina'!X85</f>
        <v>85.050000000000011</v>
      </c>
      <c r="Y316" s="82">
        <f>+'Project La Gallina'!Y85</f>
        <v>31.795366795366796</v>
      </c>
      <c r="Z316" s="82">
        <f>+'Project La Gallina'!Z85</f>
        <v>1.2857142857142856</v>
      </c>
      <c r="AA316" s="82">
        <f>+'Project La Gallina'!AA85</f>
        <v>0.5894410974471187</v>
      </c>
      <c r="AB316" s="82">
        <f>+'Project La Gallina'!AB85</f>
        <v>0</v>
      </c>
      <c r="AC316" s="83">
        <f t="shared" si="302"/>
        <v>123.32113494714402</v>
      </c>
      <c r="AD316" s="93">
        <f t="shared" si="303"/>
        <v>12.332113494714402</v>
      </c>
      <c r="AE316" s="93">
        <f t="shared" si="304"/>
        <v>20</v>
      </c>
      <c r="AF316" s="90">
        <f t="shared" si="305"/>
        <v>7.6678865052855976</v>
      </c>
      <c r="AG316" s="91">
        <f t="shared" si="306"/>
        <v>0.62178202532534976</v>
      </c>
      <c r="AH316" s="92">
        <f t="shared" si="307"/>
        <v>200</v>
      </c>
    </row>
    <row r="317" spans="1:34" ht="15" thickBot="1" x14ac:dyDescent="0.35">
      <c r="A317" s="224"/>
      <c r="B317" s="4" t="str">
        <f t="shared" ref="B317:J317" si="328">+B288</f>
        <v>LA GALLINA</v>
      </c>
      <c r="C317" s="4" t="str">
        <f t="shared" si="328"/>
        <v>Piatto spirale</v>
      </c>
      <c r="D317" s="5">
        <f t="shared" si="328"/>
        <v>4</v>
      </c>
      <c r="E317" s="5">
        <f t="shared" si="328"/>
        <v>5</v>
      </c>
      <c r="F317" s="5">
        <f t="shared" si="328"/>
        <v>0.25</v>
      </c>
      <c r="G317" s="5">
        <f t="shared" si="328"/>
        <v>25</v>
      </c>
      <c r="H317" s="4">
        <f t="shared" si="328"/>
        <v>1.575448E-4</v>
      </c>
      <c r="I317" s="6">
        <f t="shared" si="328"/>
        <v>0.43762444444444443</v>
      </c>
      <c r="J317" s="6">
        <f t="shared" si="328"/>
        <v>0.39386199999999999</v>
      </c>
      <c r="R317" s="5">
        <f>+'Project La Gallina'!R86</f>
        <v>10</v>
      </c>
      <c r="S317" s="6">
        <f>+'Project La Gallina'!S86</f>
        <v>250</v>
      </c>
      <c r="T317" s="6">
        <f>+'Project La Gallina'!T86</f>
        <v>4.3762444444444446</v>
      </c>
      <c r="U317" s="6">
        <f>+'Project La Gallina'!U86</f>
        <v>3.9386199999999998</v>
      </c>
      <c r="V317" s="84">
        <f>+'Project La Gallina'!V86</f>
        <v>2.1155295807966668</v>
      </c>
      <c r="W317" s="85">
        <f>+'Project La Gallina'!W86</f>
        <v>2.6739291179999999E-2</v>
      </c>
      <c r="X317" s="85">
        <f>+'Project La Gallina'!X86</f>
        <v>39.375000000000007</v>
      </c>
      <c r="Y317" s="85">
        <f>+'Project La Gallina'!Y86</f>
        <v>14.72007722007722</v>
      </c>
      <c r="Z317" s="85">
        <f>+'Project La Gallina'!Z86</f>
        <v>0.59523809523809523</v>
      </c>
      <c r="AA317" s="85">
        <f>+'Project La Gallina'!AA86</f>
        <v>0.50729991340863434</v>
      </c>
      <c r="AB317" s="85">
        <f>+'Project La Gallina'!AB86</f>
        <v>0</v>
      </c>
      <c r="AC317" s="83">
        <f t="shared" si="302"/>
        <v>57.33988410070063</v>
      </c>
      <c r="AD317" s="93">
        <f t="shared" si="303"/>
        <v>5.7339884100700633</v>
      </c>
      <c r="AE317" s="93">
        <f t="shared" si="304"/>
        <v>15</v>
      </c>
      <c r="AF317" s="90">
        <f t="shared" si="305"/>
        <v>9.2660115899299367</v>
      </c>
      <c r="AG317" s="91">
        <f t="shared" si="306"/>
        <v>1.6159801742286248</v>
      </c>
      <c r="AH317" s="92">
        <f t="shared" si="307"/>
        <v>150</v>
      </c>
    </row>
    <row r="320" spans="1:34" ht="18.600000000000001" thickBot="1" x14ac:dyDescent="0.4">
      <c r="D320" s="237" t="s">
        <v>40</v>
      </c>
      <c r="E320" s="237"/>
      <c r="F320" s="237"/>
      <c r="G320" s="237"/>
      <c r="H320" s="237"/>
      <c r="I320" s="237"/>
      <c r="J320" s="237"/>
      <c r="K320" s="237"/>
      <c r="L320" s="237"/>
      <c r="M320" s="237"/>
      <c r="N320" s="237"/>
      <c r="O320" s="237"/>
      <c r="P320" s="237"/>
      <c r="Q320" s="237"/>
      <c r="R320" s="10" t="s">
        <v>32</v>
      </c>
      <c r="S320" s="87">
        <f>+S322/60/7</f>
        <v>20.461904761904758</v>
      </c>
      <c r="T320" s="88" t="s">
        <v>83</v>
      </c>
    </row>
    <row r="321" spans="1:35" x14ac:dyDescent="0.3">
      <c r="D321" s="236" t="s">
        <v>33</v>
      </c>
      <c r="E321" s="236"/>
      <c r="F321" s="236"/>
      <c r="G321" s="236"/>
      <c r="H321" s="236"/>
      <c r="I321" s="236"/>
      <c r="J321" s="236"/>
      <c r="M321" s="236" t="s">
        <v>36</v>
      </c>
      <c r="N321" s="236"/>
      <c r="O321" s="236"/>
      <c r="P321" s="236"/>
      <c r="Q321" s="236"/>
      <c r="V321" s="238" t="s">
        <v>135</v>
      </c>
      <c r="W321" s="239"/>
      <c r="X321" s="239"/>
      <c r="Y321" s="239"/>
      <c r="Z321" s="239"/>
      <c r="AA321" s="239"/>
      <c r="AB321" s="239"/>
      <c r="AC321" s="240"/>
    </row>
    <row r="322" spans="1:35" ht="18" x14ac:dyDescent="0.35">
      <c r="B322" s="178" t="s">
        <v>470</v>
      </c>
      <c r="F322" s="225" t="s">
        <v>44</v>
      </c>
      <c r="G322" s="225"/>
      <c r="I322" s="20">
        <f>SUBTOTAL(9,I324:I346)</f>
        <v>59.570075669444442</v>
      </c>
      <c r="J322" s="20">
        <f>SUBTOTAL(9,J324:J346)</f>
        <v>53.613068102499987</v>
      </c>
      <c r="K322" s="1">
        <f>+'Finished goods'!$I$3</f>
        <v>2500</v>
      </c>
      <c r="L322" s="1">
        <f>+'Finished goods'!$J$3</f>
        <v>0.9</v>
      </c>
      <c r="M322" s="15">
        <f>+'Finished goods'!$K$3</f>
        <v>0.50772709939119998</v>
      </c>
      <c r="N322" s="15">
        <f>+'Finished goods'!$L$3</f>
        <v>6.7889999999999999E-3</v>
      </c>
      <c r="O322" s="13">
        <f>+'Finished goods'!$M$3</f>
        <v>0.15750000000000003</v>
      </c>
      <c r="P322" s="46">
        <f>+'Finished goods'!$N$3</f>
        <v>5.8880308880308881E-2</v>
      </c>
      <c r="Q322" s="1"/>
      <c r="S322" s="17">
        <f>SUBTOTAL(9,S324:S346)</f>
        <v>8594</v>
      </c>
      <c r="T322" s="17">
        <f>SUBTOTAL(9,T324:T346)</f>
        <v>162.95047083611109</v>
      </c>
      <c r="U322" s="75">
        <f>SUBTOTAL(9,U324:U346)</f>
        <v>146.65542375250001</v>
      </c>
      <c r="V322" s="77">
        <f t="shared" ref="V322:AC322" si="329">SUBTOTAL(9,V324:V346)</f>
        <v>72.723444869466206</v>
      </c>
      <c r="W322" s="17">
        <f t="shared" si="329"/>
        <v>0.99564367185572245</v>
      </c>
      <c r="X322" s="17">
        <f t="shared" si="329"/>
        <v>1353.5550000000003</v>
      </c>
      <c r="Y322" s="17">
        <f t="shared" si="329"/>
        <v>506.01737451737455</v>
      </c>
      <c r="Z322" s="17">
        <f t="shared" si="329"/>
        <v>22.605749238676189</v>
      </c>
      <c r="AA322" s="17">
        <f t="shared" si="329"/>
        <v>18.889429234236815</v>
      </c>
      <c r="AB322" s="17">
        <f t="shared" si="329"/>
        <v>468</v>
      </c>
      <c r="AC322" s="78">
        <f t="shared" si="329"/>
        <v>2442.7866415316093</v>
      </c>
      <c r="AF322" s="225" t="s">
        <v>118</v>
      </c>
      <c r="AG322" s="225"/>
      <c r="AH322" s="108">
        <f t="shared" ref="AH322" si="330">SUBTOTAL(9,AH324:AH346)</f>
        <v>8320</v>
      </c>
      <c r="AI322" s="95"/>
    </row>
    <row r="323" spans="1:35" x14ac:dyDescent="0.3">
      <c r="A323" s="1" t="s">
        <v>145</v>
      </c>
      <c r="B323" s="1" t="s">
        <v>30</v>
      </c>
      <c r="C323" s="1" t="s">
        <v>0</v>
      </c>
      <c r="D323" s="1" t="s">
        <v>4</v>
      </c>
      <c r="E323" s="1" t="s">
        <v>5</v>
      </c>
      <c r="F323" s="1" t="s">
        <v>45</v>
      </c>
      <c r="G323" s="1" t="s">
        <v>57</v>
      </c>
      <c r="H323" s="1" t="s">
        <v>6</v>
      </c>
      <c r="I323" s="1" t="s">
        <v>2</v>
      </c>
      <c r="J323" s="1" t="s">
        <v>7</v>
      </c>
      <c r="K323" s="1" t="s">
        <v>31</v>
      </c>
      <c r="L323" s="1" t="s">
        <v>8</v>
      </c>
      <c r="M323" s="1" t="s">
        <v>34</v>
      </c>
      <c r="N323" s="1" t="s">
        <v>35</v>
      </c>
      <c r="O323" s="1" t="s">
        <v>37</v>
      </c>
      <c r="P323" s="1" t="s">
        <v>93</v>
      </c>
      <c r="Q323" s="1" t="s">
        <v>94</v>
      </c>
      <c r="R323" s="11" t="s">
        <v>39</v>
      </c>
      <c r="S323" s="2" t="s">
        <v>43</v>
      </c>
      <c r="T323" s="2" t="s">
        <v>2</v>
      </c>
      <c r="U323" s="76" t="s">
        <v>7</v>
      </c>
      <c r="V323" s="2" t="str">
        <f>+V4</f>
        <v>energia €/h</v>
      </c>
      <c r="W323" s="2" t="str">
        <f t="shared" ref="W323:AB323" si="331">+W4</f>
        <v>materiale €/Kg</v>
      </c>
      <c r="X323" s="2" t="str">
        <f t="shared" si="331"/>
        <v>mod</v>
      </c>
      <c r="Y323" s="2" t="str">
        <f t="shared" si="331"/>
        <v>ammort</v>
      </c>
      <c r="Z323" s="2" t="str">
        <f t="shared" si="331"/>
        <v>Accensione</v>
      </c>
      <c r="AA323" s="2" t="str">
        <f t="shared" si="331"/>
        <v>trasporto</v>
      </c>
      <c r="AB323" s="2" t="str">
        <f t="shared" si="331"/>
        <v>forniture</v>
      </c>
      <c r="AC323" s="80" t="s">
        <v>42</v>
      </c>
      <c r="AD323" s="53" t="s">
        <v>116</v>
      </c>
      <c r="AE323" s="1" t="s">
        <v>117</v>
      </c>
      <c r="AF323" s="1" t="s">
        <v>119</v>
      </c>
      <c r="AG323" s="1" t="s">
        <v>120</v>
      </c>
      <c r="AH323" s="1" t="s">
        <v>121</v>
      </c>
    </row>
    <row r="324" spans="1:35" ht="14.4" customHeight="1" x14ac:dyDescent="0.3">
      <c r="A324" s="222" t="s">
        <v>422</v>
      </c>
      <c r="B324" s="4" t="str">
        <f>+B295</f>
        <v>OSTELLIERE</v>
      </c>
      <c r="C324" s="4" t="str">
        <f>+C295</f>
        <v>Tavolo twist Logo</v>
      </c>
      <c r="D324" s="5">
        <f>+D295</f>
        <v>8</v>
      </c>
      <c r="E324" s="5">
        <f>+E295</f>
        <v>10</v>
      </c>
      <c r="F324" s="5">
        <f>+F295</f>
        <v>1.22</v>
      </c>
      <c r="G324" s="5">
        <f t="shared" ref="G324:J324" si="332">+G295</f>
        <v>82</v>
      </c>
      <c r="H324" s="4">
        <f t="shared" si="332"/>
        <v>7.9769999999999997E-3</v>
      </c>
      <c r="I324" s="6">
        <f t="shared" si="332"/>
        <v>22.158333333333331</v>
      </c>
      <c r="J324" s="6">
        <f t="shared" si="332"/>
        <v>19.942499999999999</v>
      </c>
      <c r="R324" s="5">
        <f>+'Project Ostelliere'!R181</f>
        <v>2</v>
      </c>
      <c r="S324" s="6">
        <f>+'Project Ostelliere'!S181</f>
        <v>164</v>
      </c>
      <c r="T324" s="6">
        <f>+'Project Ostelliere'!T181</f>
        <v>44.316666666666663</v>
      </c>
      <c r="U324" s="6">
        <f>+'Project Ostelliere'!U181</f>
        <v>39.884999999999998</v>
      </c>
      <c r="V324" s="81">
        <f>+'Project Ostelliere'!V181</f>
        <v>1.3877874050026131</v>
      </c>
      <c r="W324" s="82">
        <f>+'Project Ostelliere'!W181</f>
        <v>0.27077926499999999</v>
      </c>
      <c r="X324" s="82">
        <f>+'Project Ostelliere'!X181</f>
        <v>25.830000000000005</v>
      </c>
      <c r="Y324" s="82">
        <f>+'Project Ostelliere'!Y181</f>
        <v>9.6563706563706564</v>
      </c>
      <c r="Z324" s="82">
        <f>+'Project Ostelliere'!Z181</f>
        <v>0.43552879096190478</v>
      </c>
      <c r="AA324" s="82">
        <f>+'Project Ostelliere'!AA181</f>
        <v>5.1372452905594805</v>
      </c>
      <c r="AB324" s="82">
        <f>+'Project Ostelliere'!AB181</f>
        <v>300</v>
      </c>
      <c r="AC324" s="83">
        <f>SUM(V324:AB324)</f>
        <v>342.71771140789463</v>
      </c>
      <c r="AD324" s="93">
        <f>+AC324/R324</f>
        <v>171.35885570394731</v>
      </c>
      <c r="AE324" s="93">
        <f>+AE295</f>
        <v>800</v>
      </c>
      <c r="AF324" s="90">
        <f>+AE324-AD324</f>
        <v>628.64114429605274</v>
      </c>
      <c r="AG324" s="91">
        <f>+AF324/AD324</f>
        <v>3.6685652557235873</v>
      </c>
      <c r="AH324" s="92">
        <f>+AE324*R324</f>
        <v>1600</v>
      </c>
    </row>
    <row r="325" spans="1:35" x14ac:dyDescent="0.3">
      <c r="A325" s="223"/>
      <c r="B325" s="4" t="str">
        <f t="shared" ref="B325:J325" si="333">+B296</f>
        <v>OSTELLIERE</v>
      </c>
      <c r="C325" s="4" t="str">
        <f t="shared" si="333"/>
        <v xml:space="preserve">Vaso bitorzolo curvo </v>
      </c>
      <c r="D325" s="5">
        <f t="shared" si="333"/>
        <v>4</v>
      </c>
      <c r="E325" s="5">
        <f t="shared" si="333"/>
        <v>2</v>
      </c>
      <c r="F325" s="5">
        <f t="shared" si="333"/>
        <v>5.21</v>
      </c>
      <c r="G325" s="5">
        <f t="shared" si="333"/>
        <v>321</v>
      </c>
      <c r="H325" s="4">
        <f t="shared" si="333"/>
        <v>6.0029599999999995E-4</v>
      </c>
      <c r="I325" s="6">
        <f t="shared" si="333"/>
        <v>1.6674888888888888</v>
      </c>
      <c r="J325" s="6">
        <f t="shared" si="333"/>
        <v>1.50074</v>
      </c>
      <c r="R325" s="5">
        <f>+'Project Ostelliere'!R182</f>
        <v>2</v>
      </c>
      <c r="S325" s="6">
        <f>+'Project Ostelliere'!S182</f>
        <v>642</v>
      </c>
      <c r="T325" s="6">
        <f>+'Project Ostelliere'!T182</f>
        <v>3.3349777777777776</v>
      </c>
      <c r="U325" s="6">
        <f>+'Project Ostelliere'!U182</f>
        <v>3.0014799999999999</v>
      </c>
      <c r="V325" s="81">
        <f>+'Project Ostelliere'!V182</f>
        <v>5.4326799634858398</v>
      </c>
      <c r="W325" s="82">
        <f>+'Project Ostelliere'!W182</f>
        <v>2.0377047719999999E-2</v>
      </c>
      <c r="X325" s="82">
        <f>+'Project Ostelliere'!X182</f>
        <v>101.11500000000002</v>
      </c>
      <c r="Y325" s="82">
        <f>+'Project Ostelliere'!Y182</f>
        <v>37.801158301158303</v>
      </c>
      <c r="Z325" s="82">
        <f>+'Project Ostelliere'!Z182</f>
        <v>1.7049358768142857</v>
      </c>
      <c r="AA325" s="82">
        <f>+'Project Ostelliere'!AA182</f>
        <v>0.38659493530671857</v>
      </c>
      <c r="AB325" s="82">
        <f>+'Project Ostelliere'!AB182</f>
        <v>0</v>
      </c>
      <c r="AC325" s="83">
        <f t="shared" ref="AC325:AC346" si="334">SUM(V325:AB325)</f>
        <v>146.46074612448518</v>
      </c>
      <c r="AD325" s="93">
        <f t="shared" ref="AD325:AD346" si="335">+AC325/R325</f>
        <v>73.230373062242592</v>
      </c>
      <c r="AE325" s="93">
        <f t="shared" ref="AE325:AE346" si="336">+AE296</f>
        <v>250</v>
      </c>
      <c r="AF325" s="90">
        <f t="shared" ref="AF325:AF346" si="337">+AE325-AD325</f>
        <v>176.76962693775741</v>
      </c>
      <c r="AG325" s="91">
        <f t="shared" ref="AG325:AG346" si="338">+AF325/AD325</f>
        <v>2.4138840148678611</v>
      </c>
      <c r="AH325" s="92">
        <f t="shared" ref="AH325:AH346" si="339">+AE325*R325</f>
        <v>500</v>
      </c>
    </row>
    <row r="326" spans="1:35" x14ac:dyDescent="0.3">
      <c r="A326" s="223"/>
      <c r="B326" s="4" t="str">
        <f t="shared" ref="B326:J326" si="340">+B297</f>
        <v>OSTELLIERE</v>
      </c>
      <c r="C326" s="4" t="str">
        <f t="shared" si="340"/>
        <v>Vaso bitorzolo twist</v>
      </c>
      <c r="D326" s="5">
        <f t="shared" si="340"/>
        <v>4</v>
      </c>
      <c r="E326" s="5">
        <f t="shared" si="340"/>
        <v>2</v>
      </c>
      <c r="F326" s="5">
        <f t="shared" si="340"/>
        <v>5.15</v>
      </c>
      <c r="G326" s="5">
        <f t="shared" si="340"/>
        <v>315</v>
      </c>
      <c r="H326" s="4">
        <f t="shared" si="340"/>
        <v>8.005105E-4</v>
      </c>
      <c r="I326" s="6">
        <f t="shared" si="340"/>
        <v>2.2236402777777777</v>
      </c>
      <c r="J326" s="6">
        <f t="shared" si="340"/>
        <v>2.0012762500000001</v>
      </c>
      <c r="R326" s="5">
        <f>+'Project Ostelliere'!R183</f>
        <v>2</v>
      </c>
      <c r="S326" s="6">
        <f>+'Project Ostelliere'!S183</f>
        <v>630</v>
      </c>
      <c r="T326" s="6">
        <f>+'Project Ostelliere'!T183</f>
        <v>4.4472805555555555</v>
      </c>
      <c r="U326" s="6">
        <f>+'Project Ostelliere'!U183</f>
        <v>4.0025525000000002</v>
      </c>
      <c r="V326" s="81">
        <f>+'Project Ostelliere'!V183</f>
        <v>5.3311345436076003</v>
      </c>
      <c r="W326" s="82">
        <f>+'Project Ostelliere'!W183</f>
        <v>2.71733289225E-2</v>
      </c>
      <c r="X326" s="82">
        <f>+'Project Ostelliere'!X183</f>
        <v>99.225000000000023</v>
      </c>
      <c r="Y326" s="82">
        <f>+'Project Ostelliere'!Y183</f>
        <v>37.094594594594597</v>
      </c>
      <c r="Z326" s="82">
        <f>+'Project Ostelliere'!Z183</f>
        <v>1.6730679165000002</v>
      </c>
      <c r="AA326" s="82">
        <f>+'Project Ostelliere'!AA183</f>
        <v>0.51553451124086935</v>
      </c>
      <c r="AB326" s="82">
        <f>+'Project Ostelliere'!AB183</f>
        <v>0</v>
      </c>
      <c r="AC326" s="83">
        <f t="shared" si="334"/>
        <v>143.86650489486561</v>
      </c>
      <c r="AD326" s="93">
        <f t="shared" si="335"/>
        <v>71.933252447432807</v>
      </c>
      <c r="AE326" s="93">
        <f t="shared" si="336"/>
        <v>250</v>
      </c>
      <c r="AF326" s="90">
        <f t="shared" si="337"/>
        <v>178.06674755256719</v>
      </c>
      <c r="AG326" s="91">
        <f t="shared" si="338"/>
        <v>2.475444130413738</v>
      </c>
      <c r="AH326" s="92">
        <f t="shared" si="339"/>
        <v>500</v>
      </c>
    </row>
    <row r="327" spans="1:35" x14ac:dyDescent="0.3">
      <c r="A327" s="223"/>
      <c r="B327" s="4" t="str">
        <f t="shared" ref="B327:J327" si="341">+B298</f>
        <v>OSTELLIERE</v>
      </c>
      <c r="C327" s="4" t="str">
        <f t="shared" si="341"/>
        <v>Vaso bitorzolo dritto</v>
      </c>
      <c r="D327" s="5">
        <f t="shared" si="341"/>
        <v>4</v>
      </c>
      <c r="E327" s="5">
        <f t="shared" si="341"/>
        <v>2</v>
      </c>
      <c r="F327" s="5">
        <f t="shared" si="341"/>
        <v>4.4800000000000004</v>
      </c>
      <c r="G327" s="5">
        <f t="shared" si="341"/>
        <v>288</v>
      </c>
      <c r="H327" s="4">
        <f t="shared" si="341"/>
        <v>8.2321687099999998E-4</v>
      </c>
      <c r="I327" s="6">
        <f t="shared" si="341"/>
        <v>2.2867135305555553</v>
      </c>
      <c r="J327" s="6">
        <f t="shared" si="341"/>
        <v>2.0580421775</v>
      </c>
      <c r="R327" s="5">
        <f>+'Project Ostelliere'!R184</f>
        <v>2</v>
      </c>
      <c r="S327" s="6">
        <f>+'Project Ostelliere'!S184</f>
        <v>576</v>
      </c>
      <c r="T327" s="6">
        <f>+'Project Ostelliere'!T184</f>
        <v>4.5734270611111105</v>
      </c>
      <c r="U327" s="6">
        <f>+'Project Ostelliere'!U184</f>
        <v>4.1160843549999999</v>
      </c>
      <c r="V327" s="81">
        <f>+'Project Ostelliere'!V184</f>
        <v>4.8741801541555203</v>
      </c>
      <c r="W327" s="82">
        <f>+'Project Ostelliere'!W184</f>
        <v>2.7944096686094998E-2</v>
      </c>
      <c r="X327" s="82">
        <f>+'Project Ostelliere'!X184</f>
        <v>90.720000000000013</v>
      </c>
      <c r="Y327" s="82">
        <f>+'Project Ostelliere'!Y184</f>
        <v>33.915057915057915</v>
      </c>
      <c r="Z327" s="82">
        <f>+'Project Ostelliere'!Z184</f>
        <v>1.5296620950857143</v>
      </c>
      <c r="AA327" s="82">
        <f>+'Project Ostelliere'!AA184</f>
        <v>0.53015757724130141</v>
      </c>
      <c r="AB327" s="82">
        <f>+'Project Ostelliere'!AB184</f>
        <v>0</v>
      </c>
      <c r="AC327" s="83">
        <f t="shared" si="334"/>
        <v>131.59700183822656</v>
      </c>
      <c r="AD327" s="93">
        <f t="shared" si="335"/>
        <v>65.79850091911328</v>
      </c>
      <c r="AE327" s="93">
        <f t="shared" si="336"/>
        <v>250</v>
      </c>
      <c r="AF327" s="90">
        <f t="shared" si="337"/>
        <v>184.20149908088672</v>
      </c>
      <c r="AG327" s="91">
        <f t="shared" si="338"/>
        <v>2.7994786584473612</v>
      </c>
      <c r="AH327" s="92">
        <f t="shared" si="339"/>
        <v>500</v>
      </c>
    </row>
    <row r="328" spans="1:35" x14ac:dyDescent="0.3">
      <c r="A328" s="223"/>
      <c r="B328" s="4" t="str">
        <f t="shared" ref="B328:J328" si="342">+B299</f>
        <v>OSTELLIERE</v>
      </c>
      <c r="C328" s="4" t="str">
        <f t="shared" si="342"/>
        <v>Porta riviste</v>
      </c>
      <c r="D328" s="5">
        <f t="shared" si="342"/>
        <v>10</v>
      </c>
      <c r="E328" s="5">
        <f t="shared" si="342"/>
        <v>10</v>
      </c>
      <c r="F328" s="5">
        <f t="shared" si="342"/>
        <v>0.42</v>
      </c>
      <c r="G328" s="5">
        <f t="shared" si="342"/>
        <v>42</v>
      </c>
      <c r="H328" s="4">
        <f t="shared" si="342"/>
        <v>3.5606798E-3</v>
      </c>
      <c r="I328" s="6">
        <f t="shared" si="342"/>
        <v>9.890777222222221</v>
      </c>
      <c r="J328" s="6">
        <f t="shared" si="342"/>
        <v>8.9016994999999994</v>
      </c>
      <c r="R328" s="5">
        <f>+'Project Ostelliere'!R185</f>
        <v>2</v>
      </c>
      <c r="S328" s="6">
        <f>+'Project Ostelliere'!S185</f>
        <v>84</v>
      </c>
      <c r="T328" s="6">
        <f>+'Project Ostelliere'!T185</f>
        <v>19.781554444444442</v>
      </c>
      <c r="U328" s="6">
        <f>+'Project Ostelliere'!U185</f>
        <v>17.803398999999999</v>
      </c>
      <c r="V328" s="81">
        <f>+'Project Ostelliere'!V185</f>
        <v>0.71081793914767988</v>
      </c>
      <c r="W328" s="82">
        <f>+'Project Ostelliere'!W185</f>
        <v>0.12086727581099999</v>
      </c>
      <c r="X328" s="82">
        <f>+'Project Ostelliere'!X185</f>
        <v>13.230000000000002</v>
      </c>
      <c r="Y328" s="82">
        <f>+'Project Ostelliere'!Y185</f>
        <v>4.9459459459459456</v>
      </c>
      <c r="Z328" s="82">
        <f>+'Project Ostelliere'!Z185</f>
        <v>0.22307572219999999</v>
      </c>
      <c r="AA328" s="82">
        <f>+'Project Ostelliere'!AA185</f>
        <v>2.2931033638887142</v>
      </c>
      <c r="AB328" s="82">
        <f>+'Project Ostelliere'!AB185</f>
        <v>0</v>
      </c>
      <c r="AC328" s="83">
        <f t="shared" si="334"/>
        <v>21.523810246993346</v>
      </c>
      <c r="AD328" s="93">
        <f t="shared" si="335"/>
        <v>10.761905123496673</v>
      </c>
      <c r="AE328" s="93">
        <f t="shared" si="336"/>
        <v>130</v>
      </c>
      <c r="AF328" s="90">
        <f t="shared" si="337"/>
        <v>119.23809487650333</v>
      </c>
      <c r="AG328" s="91">
        <f t="shared" si="338"/>
        <v>11.079645611832103</v>
      </c>
      <c r="AH328" s="92">
        <f t="shared" si="339"/>
        <v>260</v>
      </c>
    </row>
    <row r="329" spans="1:35" x14ac:dyDescent="0.3">
      <c r="A329" s="223"/>
      <c r="B329" s="4" t="str">
        <f t="shared" ref="B329:J329" si="343">+B300</f>
        <v>OSTELLIERE</v>
      </c>
      <c r="C329" s="4" t="str">
        <f t="shared" si="343"/>
        <v>Lampada 90 grossa</v>
      </c>
      <c r="D329" s="5">
        <f t="shared" si="343"/>
        <v>8</v>
      </c>
      <c r="E329" s="5">
        <f t="shared" si="343"/>
        <v>10</v>
      </c>
      <c r="F329" s="5">
        <f t="shared" si="343"/>
        <v>1.39</v>
      </c>
      <c r="G329" s="5">
        <f t="shared" si="343"/>
        <v>99</v>
      </c>
      <c r="H329" s="4">
        <f t="shared" si="343"/>
        <v>1.7366300000000001E-3</v>
      </c>
      <c r="I329" s="6">
        <f t="shared" si="343"/>
        <v>4.8239722222222232</v>
      </c>
      <c r="J329" s="6">
        <f t="shared" si="343"/>
        <v>4.3415750000000006</v>
      </c>
      <c r="R329" s="5">
        <f>+'Project Ostelliere'!R186</f>
        <v>1</v>
      </c>
      <c r="S329" s="6">
        <f>+'Project Ostelliere'!S186</f>
        <v>99</v>
      </c>
      <c r="T329" s="6">
        <f>+'Project Ostelliere'!T186</f>
        <v>4.8239722222222232</v>
      </c>
      <c r="U329" s="6">
        <f>+'Project Ostelliere'!U186</f>
        <v>4.3415750000000006</v>
      </c>
      <c r="V329" s="81">
        <f>+'Project Ostelliere'!V186</f>
        <v>0.83774971399547993</v>
      </c>
      <c r="W329" s="82">
        <f>+'Project Ostelliere'!W186</f>
        <v>2.9474952675000003E-2</v>
      </c>
      <c r="X329" s="82">
        <f>+'Project Ostelliere'!X186</f>
        <v>15.592500000000003</v>
      </c>
      <c r="Y329" s="82">
        <f>+'Project Ostelliere'!Y186</f>
        <v>5.8291505791505793</v>
      </c>
      <c r="Z329" s="82">
        <f>+'Project Ostelliere'!Z186</f>
        <v>0.26291067259285716</v>
      </c>
      <c r="AA329" s="82">
        <f>+'Project Ostelliere'!AA186</f>
        <v>0.55920109621062508</v>
      </c>
      <c r="AB329" s="82">
        <f>+'Project Ostelliere'!AB186</f>
        <v>24</v>
      </c>
      <c r="AC329" s="83">
        <f t="shared" si="334"/>
        <v>47.110987014624541</v>
      </c>
      <c r="AD329" s="93">
        <f t="shared" si="335"/>
        <v>47.110987014624541</v>
      </c>
      <c r="AE329" s="93">
        <f t="shared" si="336"/>
        <v>400</v>
      </c>
      <c r="AF329" s="90">
        <f t="shared" si="337"/>
        <v>352.88901298537547</v>
      </c>
      <c r="AG329" s="91">
        <f t="shared" si="338"/>
        <v>7.4905884029945931</v>
      </c>
      <c r="AH329" s="92">
        <f t="shared" si="339"/>
        <v>400</v>
      </c>
    </row>
    <row r="330" spans="1:35" x14ac:dyDescent="0.3">
      <c r="A330" s="223"/>
      <c r="B330" s="4" t="str">
        <f t="shared" ref="B330:J330" si="344">+B301</f>
        <v>OSTELLIERE</v>
      </c>
      <c r="C330" s="4" t="str">
        <f t="shared" si="344"/>
        <v>Lampada 90 piccola</v>
      </c>
      <c r="D330" s="5">
        <f t="shared" si="344"/>
        <v>5</v>
      </c>
      <c r="E330" s="5">
        <f t="shared" si="344"/>
        <v>10</v>
      </c>
      <c r="F330" s="5">
        <f t="shared" si="344"/>
        <v>1.1499999999999999</v>
      </c>
      <c r="G330" s="5">
        <f t="shared" si="344"/>
        <v>75</v>
      </c>
      <c r="H330" s="4">
        <f t="shared" si="344"/>
        <v>8.1557296000000004E-4</v>
      </c>
      <c r="I330" s="6">
        <f t="shared" si="344"/>
        <v>2.2654804444444445</v>
      </c>
      <c r="J330" s="6">
        <f t="shared" si="344"/>
        <v>2.0389324000000002</v>
      </c>
      <c r="R330" s="5">
        <f>+'Project Ostelliere'!R187</f>
        <v>6</v>
      </c>
      <c r="S330" s="6">
        <f>+'Project Ostelliere'!S187</f>
        <v>450</v>
      </c>
      <c r="T330" s="6">
        <f>+'Project Ostelliere'!T187</f>
        <v>13.592882666666668</v>
      </c>
      <c r="U330" s="6">
        <f>+'Project Ostelliere'!U187</f>
        <v>12.233594400000001</v>
      </c>
      <c r="V330" s="81">
        <f>+'Project Ostelliere'!V187</f>
        <v>3.8079532454339997</v>
      </c>
      <c r="W330" s="82">
        <f>+'Project Ostelliere'!W187</f>
        <v>8.3053872381600002E-2</v>
      </c>
      <c r="X330" s="82">
        <f>+'Project Ostelliere'!X187</f>
        <v>70.875000000000014</v>
      </c>
      <c r="Y330" s="82">
        <f>+'Project Ostelliere'!Y187</f>
        <v>26.496138996138995</v>
      </c>
      <c r="Z330" s="82">
        <f>+'Project Ostelliere'!Z187</f>
        <v>1.1950485117857144</v>
      </c>
      <c r="AA330" s="82">
        <f>+'Project Ostelliere'!AA187</f>
        <v>1.5757045309769298</v>
      </c>
      <c r="AB330" s="82">
        <f>+'Project Ostelliere'!AB187</f>
        <v>144</v>
      </c>
      <c r="AC330" s="83">
        <f t="shared" si="334"/>
        <v>248.03289915671726</v>
      </c>
      <c r="AD330" s="93">
        <f t="shared" si="335"/>
        <v>41.338816526119544</v>
      </c>
      <c r="AE330" s="93">
        <f t="shared" si="336"/>
        <v>200</v>
      </c>
      <c r="AF330" s="90">
        <f t="shared" si="337"/>
        <v>158.66118347388044</v>
      </c>
      <c r="AG330" s="91">
        <f t="shared" si="338"/>
        <v>3.8380678695441572</v>
      </c>
      <c r="AH330" s="92">
        <f t="shared" si="339"/>
        <v>1200</v>
      </c>
    </row>
    <row r="331" spans="1:35" x14ac:dyDescent="0.3">
      <c r="A331" s="223"/>
      <c r="B331" s="4" t="str">
        <f t="shared" ref="B331:J331" si="345">+B302</f>
        <v>OSTELLIERE</v>
      </c>
      <c r="C331" s="4" t="str">
        <f t="shared" si="345"/>
        <v>Vaso Logo</v>
      </c>
      <c r="D331" s="5">
        <f t="shared" si="345"/>
        <v>5</v>
      </c>
      <c r="E331" s="5">
        <f t="shared" si="345"/>
        <v>10</v>
      </c>
      <c r="F331" s="5">
        <f t="shared" si="345"/>
        <v>0.39</v>
      </c>
      <c r="G331" s="5">
        <f t="shared" si="345"/>
        <v>39</v>
      </c>
      <c r="H331" s="4">
        <f t="shared" si="345"/>
        <v>1.1639584900000001E-3</v>
      </c>
      <c r="I331" s="6">
        <f t="shared" si="345"/>
        <v>3.2332180277777778</v>
      </c>
      <c r="J331" s="6">
        <f t="shared" si="345"/>
        <v>2.9098962250000002</v>
      </c>
      <c r="R331" s="5">
        <f>+'Project Ostelliere'!R188</f>
        <v>3</v>
      </c>
      <c r="S331" s="6">
        <f>+'Project Ostelliere'!S188</f>
        <v>117</v>
      </c>
      <c r="T331" s="6">
        <f>+'Project Ostelliere'!T188</f>
        <v>9.6996540833333338</v>
      </c>
      <c r="U331" s="6">
        <f>+'Project Ostelliere'!U188</f>
        <v>8.7296886750000002</v>
      </c>
      <c r="V331" s="81">
        <f>+'Project Ostelliere'!V188</f>
        <v>0.99006784381283996</v>
      </c>
      <c r="W331" s="82">
        <f>+'Project Ostelliere'!W188</f>
        <v>5.9265856414574998E-2</v>
      </c>
      <c r="X331" s="82">
        <f>+'Project Ostelliere'!X188</f>
        <v>18.427500000000002</v>
      </c>
      <c r="Y331" s="82">
        <f>+'Project Ostelliere'!Y188</f>
        <v>6.8889961389961387</v>
      </c>
      <c r="Z331" s="82">
        <f>+'Project Ostelliere'!Z188</f>
        <v>0.31071261306428571</v>
      </c>
      <c r="AA331" s="82">
        <f>+'Project Ostelliere'!AA188</f>
        <v>1.1243964406091058</v>
      </c>
      <c r="AB331" s="82">
        <f>+'Project Ostelliere'!AB188</f>
        <v>0</v>
      </c>
      <c r="AC331" s="83">
        <f t="shared" si="334"/>
        <v>27.800938892896948</v>
      </c>
      <c r="AD331" s="93">
        <f t="shared" si="335"/>
        <v>9.2669796309656487</v>
      </c>
      <c r="AE331" s="93">
        <f t="shared" si="336"/>
        <v>310</v>
      </c>
      <c r="AF331" s="90">
        <f t="shared" si="337"/>
        <v>300.73302036903436</v>
      </c>
      <c r="AG331" s="91">
        <f t="shared" si="338"/>
        <v>32.452107627833108</v>
      </c>
      <c r="AH331" s="92">
        <f t="shared" si="339"/>
        <v>930</v>
      </c>
    </row>
    <row r="332" spans="1:35" x14ac:dyDescent="0.3">
      <c r="A332" s="223"/>
      <c r="B332" s="4" t="str">
        <f t="shared" ref="B332:J332" si="346">+B303</f>
        <v>OSTELLIERE</v>
      </c>
      <c r="C332" s="4" t="str">
        <f t="shared" si="346"/>
        <v>Copri candela</v>
      </c>
      <c r="D332" s="5">
        <f t="shared" si="346"/>
        <v>4</v>
      </c>
      <c r="E332" s="5">
        <f t="shared" si="346"/>
        <v>5</v>
      </c>
      <c r="F332" s="5">
        <f t="shared" si="346"/>
        <v>0.34</v>
      </c>
      <c r="G332" s="5">
        <f t="shared" si="346"/>
        <v>34</v>
      </c>
      <c r="H332" s="4">
        <f t="shared" si="346"/>
        <v>2.3780405299999999E-4</v>
      </c>
      <c r="I332" s="6">
        <f t="shared" si="346"/>
        <v>0.66056681388888883</v>
      </c>
      <c r="J332" s="6">
        <f t="shared" si="346"/>
        <v>0.59451013249999995</v>
      </c>
      <c r="R332" s="5">
        <f>+'Project Ostelliere'!R189</f>
        <v>15</v>
      </c>
      <c r="S332" s="6">
        <f>+'Project Ostelliere'!S189</f>
        <v>510</v>
      </c>
      <c r="T332" s="6">
        <f>+'Project Ostelliere'!T189</f>
        <v>9.9085022083333332</v>
      </c>
      <c r="U332" s="6">
        <f>+'Project Ostelliere'!U189</f>
        <v>8.9176519874999993</v>
      </c>
      <c r="V332" s="81">
        <f>+'Project Ostelliere'!V189</f>
        <v>4.3156803448251999</v>
      </c>
      <c r="W332" s="82">
        <f>+'Project Ostelliere'!W189</f>
        <v>6.0541939343137494E-2</v>
      </c>
      <c r="X332" s="82">
        <f>+'Project Ostelliere'!X189</f>
        <v>80.325000000000017</v>
      </c>
      <c r="Y332" s="82">
        <f>+'Project Ostelliere'!Y189</f>
        <v>30.02895752895753</v>
      </c>
      <c r="Z332" s="82">
        <f>+'Project Ostelliere'!Z189</f>
        <v>1.3543883133571428</v>
      </c>
      <c r="AA332" s="82">
        <f>+'Project Ostelliere'!AA189</f>
        <v>1.1486063852484083</v>
      </c>
      <c r="AB332" s="82">
        <f>+'Project Ostelliere'!AB189</f>
        <v>0</v>
      </c>
      <c r="AC332" s="83">
        <f t="shared" si="334"/>
        <v>117.23317451173145</v>
      </c>
      <c r="AD332" s="93">
        <f t="shared" si="335"/>
        <v>7.8155449674487629</v>
      </c>
      <c r="AE332" s="93">
        <f t="shared" si="336"/>
        <v>20</v>
      </c>
      <c r="AF332" s="90">
        <f t="shared" si="337"/>
        <v>12.184455032551238</v>
      </c>
      <c r="AG332" s="91">
        <f t="shared" si="338"/>
        <v>1.5590026138034778</v>
      </c>
      <c r="AH332" s="92">
        <f t="shared" si="339"/>
        <v>300</v>
      </c>
    </row>
    <row r="333" spans="1:35" x14ac:dyDescent="0.3">
      <c r="A333" s="223"/>
      <c r="B333" s="4" t="str">
        <f t="shared" ref="B333:J333" si="347">+B304</f>
        <v>OSTELLIERE</v>
      </c>
      <c r="C333" s="4" t="str">
        <f t="shared" si="347"/>
        <v xml:space="preserve">Vaso Grosso </v>
      </c>
      <c r="D333" s="5">
        <f t="shared" si="347"/>
        <v>4</v>
      </c>
      <c r="E333" s="5">
        <f t="shared" si="347"/>
        <v>5</v>
      </c>
      <c r="F333" s="5">
        <f t="shared" si="347"/>
        <v>1.31</v>
      </c>
      <c r="G333" s="5">
        <f t="shared" si="347"/>
        <v>91</v>
      </c>
      <c r="H333" s="4">
        <f t="shared" si="347"/>
        <v>9.52764444E-4</v>
      </c>
      <c r="I333" s="6">
        <f t="shared" si="347"/>
        <v>2.6465679</v>
      </c>
      <c r="J333" s="6">
        <f t="shared" si="347"/>
        <v>2.3819111099999999</v>
      </c>
      <c r="R333" s="5">
        <f>+'Project Ostelliere'!R190</f>
        <v>2</v>
      </c>
      <c r="S333" s="6">
        <f>+'Project Ostelliere'!S190</f>
        <v>182</v>
      </c>
      <c r="T333" s="6">
        <f>+'Project Ostelliere'!T190</f>
        <v>5.2931357999999999</v>
      </c>
      <c r="U333" s="6">
        <f>+'Project Ostelliere'!U190</f>
        <v>4.7638222199999998</v>
      </c>
      <c r="V333" s="81">
        <f>+'Project Ostelliere'!V190</f>
        <v>1.5401055348199733</v>
      </c>
      <c r="W333" s="82">
        <f>+'Project Ostelliere'!W190</f>
        <v>3.2341589051580001E-2</v>
      </c>
      <c r="X333" s="82">
        <f>+'Project Ostelliere'!X190</f>
        <v>28.665000000000006</v>
      </c>
      <c r="Y333" s="82">
        <f>+'Project Ostelliere'!Y190</f>
        <v>10.716216216216216</v>
      </c>
      <c r="Z333" s="82">
        <f>+'Project Ostelliere'!Z190</f>
        <v>0.48333073143333333</v>
      </c>
      <c r="AA333" s="82">
        <f>+'Project Ostelliere'!AA190</f>
        <v>0.61358714465983732</v>
      </c>
      <c r="AB333" s="82">
        <f>+'Project Ostelliere'!AB190</f>
        <v>0</v>
      </c>
      <c r="AC333" s="83">
        <f t="shared" si="334"/>
        <v>42.050581216180944</v>
      </c>
      <c r="AD333" s="93">
        <f t="shared" si="335"/>
        <v>21.025290608090472</v>
      </c>
      <c r="AE333" s="93">
        <f t="shared" si="336"/>
        <v>200</v>
      </c>
      <c r="AF333" s="90">
        <f t="shared" si="337"/>
        <v>178.97470939190953</v>
      </c>
      <c r="AG333" s="91">
        <f t="shared" si="338"/>
        <v>8.5123536567452049</v>
      </c>
      <c r="AH333" s="92">
        <f t="shared" si="339"/>
        <v>400</v>
      </c>
    </row>
    <row r="334" spans="1:35" x14ac:dyDescent="0.3">
      <c r="A334" s="223"/>
      <c r="B334" s="4" t="str">
        <f t="shared" ref="B334:J334" si="348">+B305</f>
        <v>ORTO</v>
      </c>
      <c r="C334" s="4" t="str">
        <f t="shared" si="348"/>
        <v>Bicchiere curve dritto</v>
      </c>
      <c r="D334" s="5">
        <f t="shared" si="348"/>
        <v>2</v>
      </c>
      <c r="E334" s="5">
        <f t="shared" si="348"/>
        <v>2</v>
      </c>
      <c r="F334" s="5">
        <f t="shared" si="348"/>
        <v>0.26</v>
      </c>
      <c r="G334" s="5">
        <f t="shared" si="348"/>
        <v>26</v>
      </c>
      <c r="H334" s="4">
        <f t="shared" si="348"/>
        <v>1.6928511099999999E-4</v>
      </c>
      <c r="I334" s="6">
        <f t="shared" si="348"/>
        <v>0.47023641944444439</v>
      </c>
      <c r="J334" s="6">
        <f t="shared" si="348"/>
        <v>0.42321277749999997</v>
      </c>
      <c r="R334" s="5">
        <f>+'Project Orto'!R192</f>
        <v>12</v>
      </c>
      <c r="S334" s="6">
        <f>+'Project Orto'!S192</f>
        <v>312</v>
      </c>
      <c r="T334" s="6">
        <f>+'Project Orto'!T192</f>
        <v>5.6428370333333326</v>
      </c>
      <c r="U334" s="6">
        <f>+'Project Orto'!U192</f>
        <v>5.0785533300000001</v>
      </c>
      <c r="V334" s="81">
        <f>+'Project Orto'!V192</f>
        <v>2.6401809168342401</v>
      </c>
      <c r="W334" s="82">
        <f>+'Project Orto'!W192</f>
        <v>3.4478298557370002E-2</v>
      </c>
      <c r="X334" s="82">
        <f>+'Project Orto'!X192</f>
        <v>49.140000000000008</v>
      </c>
      <c r="Y334" s="82">
        <f>+'Project Orto'!Y192</f>
        <v>18.37065637065637</v>
      </c>
      <c r="Z334" s="82">
        <f>+'Project Orto'!Z192</f>
        <v>0.82856696817142861</v>
      </c>
      <c r="AA334" s="82">
        <f>+'Project Orto'!AA192</f>
        <v>0.65412496370559525</v>
      </c>
      <c r="AB334" s="82">
        <f>+'Project Orto'!AB192</f>
        <v>0</v>
      </c>
      <c r="AC334" s="83">
        <f t="shared" si="334"/>
        <v>71.668007517925005</v>
      </c>
      <c r="AD334" s="93">
        <f t="shared" si="335"/>
        <v>5.9723339598270835</v>
      </c>
      <c r="AE334" s="93">
        <f t="shared" si="336"/>
        <v>15</v>
      </c>
      <c r="AF334" s="90">
        <f t="shared" si="337"/>
        <v>9.0276660401729174</v>
      </c>
      <c r="AG334" s="91">
        <f t="shared" si="338"/>
        <v>1.5115809164218765</v>
      </c>
      <c r="AH334" s="92">
        <f t="shared" si="339"/>
        <v>180</v>
      </c>
    </row>
    <row r="335" spans="1:35" x14ac:dyDescent="0.3">
      <c r="A335" s="223"/>
      <c r="B335" s="4" t="str">
        <f t="shared" ref="B335:J335" si="349">+B306</f>
        <v>ORTO</v>
      </c>
      <c r="C335" s="4" t="str">
        <f t="shared" si="349"/>
        <v>Bicchiere curve twist</v>
      </c>
      <c r="D335" s="5">
        <f t="shared" si="349"/>
        <v>2</v>
      </c>
      <c r="E335" s="5">
        <f t="shared" si="349"/>
        <v>2</v>
      </c>
      <c r="F335" s="5">
        <f t="shared" si="349"/>
        <v>0.25</v>
      </c>
      <c r="G335" s="5">
        <f t="shared" si="349"/>
        <v>25</v>
      </c>
      <c r="H335" s="4">
        <f t="shared" si="349"/>
        <v>1.69285896E-4</v>
      </c>
      <c r="I335" s="6">
        <f t="shared" si="349"/>
        <v>0.47023859999999995</v>
      </c>
      <c r="J335" s="6">
        <f t="shared" si="349"/>
        <v>0.42321473999999998</v>
      </c>
      <c r="R335" s="5">
        <f>+'Project Orto'!R193</f>
        <v>12</v>
      </c>
      <c r="S335" s="6">
        <f>+'Project Orto'!S193</f>
        <v>300</v>
      </c>
      <c r="T335" s="6">
        <f>+'Project Orto'!T193</f>
        <v>5.642863199999999</v>
      </c>
      <c r="U335" s="6">
        <f>+'Project Orto'!U193</f>
        <v>5.07857688</v>
      </c>
      <c r="V335" s="81">
        <f>+'Project Orto'!V193</f>
        <v>2.5386354969559997</v>
      </c>
      <c r="W335" s="82">
        <f>+'Project Orto'!W193</f>
        <v>3.4478458438320002E-2</v>
      </c>
      <c r="X335" s="82">
        <f>+'Project Orto'!X193</f>
        <v>47.250000000000007</v>
      </c>
      <c r="Y335" s="82">
        <f>+'Project Orto'!Y193</f>
        <v>17.664092664092664</v>
      </c>
      <c r="Z335" s="82">
        <f>+'Project Orto'!Z193</f>
        <v>0.79669900785714287</v>
      </c>
      <c r="AA335" s="82">
        <f>+'Project Orto'!AA193</f>
        <v>0.65412799697942225</v>
      </c>
      <c r="AB335" s="82">
        <f>+'Project Orto'!AB193</f>
        <v>0</v>
      </c>
      <c r="AC335" s="83">
        <f t="shared" si="334"/>
        <v>68.938033624323552</v>
      </c>
      <c r="AD335" s="93">
        <f t="shared" si="335"/>
        <v>5.7448361353602957</v>
      </c>
      <c r="AE335" s="93">
        <f t="shared" si="336"/>
        <v>15</v>
      </c>
      <c r="AF335" s="90">
        <f t="shared" si="337"/>
        <v>9.2551638646397052</v>
      </c>
      <c r="AG335" s="91">
        <f t="shared" si="338"/>
        <v>1.6110405321524901</v>
      </c>
      <c r="AH335" s="92">
        <f t="shared" si="339"/>
        <v>180</v>
      </c>
    </row>
    <row r="336" spans="1:35" x14ac:dyDescent="0.3">
      <c r="A336" s="223"/>
      <c r="B336" s="4" t="str">
        <f t="shared" ref="B336:J336" si="350">+B307</f>
        <v>ORTO</v>
      </c>
      <c r="C336" s="4" t="str">
        <f t="shared" si="350"/>
        <v>Caraffa curva</v>
      </c>
      <c r="D336" s="5">
        <f t="shared" si="350"/>
        <v>2</v>
      </c>
      <c r="E336" s="5">
        <f t="shared" si="350"/>
        <v>2</v>
      </c>
      <c r="F336" s="5">
        <f t="shared" si="350"/>
        <v>0.56999999999999995</v>
      </c>
      <c r="G336" s="5">
        <f t="shared" si="350"/>
        <v>57</v>
      </c>
      <c r="H336" s="4">
        <f t="shared" si="350"/>
        <v>3.69342133E-4</v>
      </c>
      <c r="I336" s="6">
        <f t="shared" si="350"/>
        <v>1.0259503694444445</v>
      </c>
      <c r="J336" s="6">
        <f t="shared" si="350"/>
        <v>0.92335533250000001</v>
      </c>
      <c r="R336" s="5">
        <f>+'Project Orto'!R194</f>
        <v>2</v>
      </c>
      <c r="S336" s="6">
        <f>+'Project Orto'!S194</f>
        <v>114</v>
      </c>
      <c r="T336" s="6">
        <f>+'Project Orto'!T194</f>
        <v>2.051900738888889</v>
      </c>
      <c r="U336" s="6">
        <f>+'Project Orto'!U194</f>
        <v>1.846710665</v>
      </c>
      <c r="V336" s="81">
        <f>+'Project Orto'!V194</f>
        <v>0.96468148884327987</v>
      </c>
      <c r="W336" s="82">
        <f>+'Project Orto'!W194</f>
        <v>1.2537318704685E-2</v>
      </c>
      <c r="X336" s="82">
        <f>+'Project Orto'!X194</f>
        <v>17.955000000000002</v>
      </c>
      <c r="Y336" s="82">
        <f>+'Project Orto'!Y194</f>
        <v>6.7123552123552122</v>
      </c>
      <c r="Z336" s="82">
        <f>+'Project Orto'!Z194</f>
        <v>0.30274562298571428</v>
      </c>
      <c r="AA336" s="82">
        <f>+'Project Orto'!AA194</f>
        <v>0.23785898625541477</v>
      </c>
      <c r="AB336" s="82">
        <f>+'Project Orto'!AB194</f>
        <v>0</v>
      </c>
      <c r="AC336" s="83">
        <f t="shared" si="334"/>
        <v>26.185178629144307</v>
      </c>
      <c r="AD336" s="93">
        <f t="shared" si="335"/>
        <v>13.092589314572153</v>
      </c>
      <c r="AE336" s="93">
        <f t="shared" si="336"/>
        <v>30</v>
      </c>
      <c r="AF336" s="90">
        <f t="shared" si="337"/>
        <v>16.907410685427848</v>
      </c>
      <c r="AG336" s="91">
        <f t="shared" si="338"/>
        <v>1.2913725680381474</v>
      </c>
      <c r="AH336" s="92">
        <f t="shared" si="339"/>
        <v>60</v>
      </c>
    </row>
    <row r="337" spans="1:34" x14ac:dyDescent="0.3">
      <c r="A337" s="223"/>
      <c r="B337" s="4" t="str">
        <f t="shared" ref="B337:J337" si="351">+B308</f>
        <v>ORTO</v>
      </c>
      <c r="C337" s="4" t="str">
        <f t="shared" si="351"/>
        <v>Caraffa colonna dritta</v>
      </c>
      <c r="D337" s="5">
        <f t="shared" si="351"/>
        <v>2</v>
      </c>
      <c r="E337" s="5">
        <f t="shared" si="351"/>
        <v>1</v>
      </c>
      <c r="F337" s="5">
        <f t="shared" si="351"/>
        <v>1.4</v>
      </c>
      <c r="G337" s="5">
        <f t="shared" si="351"/>
        <v>100</v>
      </c>
      <c r="H337" s="4">
        <f t="shared" si="351"/>
        <v>3.2796365999999998E-4</v>
      </c>
      <c r="I337" s="6">
        <f t="shared" si="351"/>
        <v>0.91101016666666657</v>
      </c>
      <c r="J337" s="6">
        <f t="shared" si="351"/>
        <v>0.81990914999999998</v>
      </c>
      <c r="R337" s="5">
        <f>+'Project Orto'!R195</f>
        <v>2</v>
      </c>
      <c r="S337" s="6">
        <f>+'Project Orto'!S195</f>
        <v>200</v>
      </c>
      <c r="T337" s="6">
        <f>+'Project Orto'!T195</f>
        <v>1.8220203333333331</v>
      </c>
      <c r="U337" s="6">
        <f>+'Project Orto'!U195</f>
        <v>1.6398183</v>
      </c>
      <c r="V337" s="81">
        <f>+'Project Orto'!V195</f>
        <v>1.6924236646373332</v>
      </c>
      <c r="W337" s="82">
        <f>+'Project Orto'!W195</f>
        <v>1.1132726438699999E-2</v>
      </c>
      <c r="X337" s="82">
        <f>+'Project Orto'!X195</f>
        <v>31.500000000000007</v>
      </c>
      <c r="Y337" s="82">
        <f>+'Project Orto'!Y195</f>
        <v>11.776061776061777</v>
      </c>
      <c r="Z337" s="82">
        <f>+'Project Orto'!Z195</f>
        <v>0.53113267190476188</v>
      </c>
      <c r="AA337" s="82">
        <f>+'Project Orto'!AA195</f>
        <v>0.21121095246454188</v>
      </c>
      <c r="AB337" s="82">
        <f>+'Project Orto'!AB195</f>
        <v>0</v>
      </c>
      <c r="AC337" s="83">
        <f t="shared" si="334"/>
        <v>45.72196179150712</v>
      </c>
      <c r="AD337" s="93">
        <f t="shared" si="335"/>
        <v>22.86098089575356</v>
      </c>
      <c r="AE337" s="93">
        <f t="shared" si="336"/>
        <v>30</v>
      </c>
      <c r="AF337" s="90">
        <f t="shared" si="337"/>
        <v>7.1390191042464402</v>
      </c>
      <c r="AG337" s="91">
        <f t="shared" si="338"/>
        <v>0.31227964962660537</v>
      </c>
      <c r="AH337" s="92">
        <f t="shared" si="339"/>
        <v>60</v>
      </c>
    </row>
    <row r="338" spans="1:34" x14ac:dyDescent="0.3">
      <c r="A338" s="223"/>
      <c r="B338" s="4" t="str">
        <f t="shared" ref="B338:J338" si="352">+B309</f>
        <v>ORTO</v>
      </c>
      <c r="C338" s="4" t="str">
        <f t="shared" si="352"/>
        <v>Caraffa colonna twist1</v>
      </c>
      <c r="D338" s="5">
        <f t="shared" si="352"/>
        <v>2</v>
      </c>
      <c r="E338" s="5">
        <f t="shared" si="352"/>
        <v>1</v>
      </c>
      <c r="F338" s="5">
        <f t="shared" si="352"/>
        <v>1.41</v>
      </c>
      <c r="G338" s="5">
        <f t="shared" si="352"/>
        <v>101</v>
      </c>
      <c r="H338" s="4">
        <f t="shared" si="352"/>
        <v>3.323221E-4</v>
      </c>
      <c r="I338" s="6">
        <f t="shared" si="352"/>
        <v>0.92311694444444448</v>
      </c>
      <c r="J338" s="6">
        <f t="shared" si="352"/>
        <v>0.83080525000000005</v>
      </c>
      <c r="R338" s="5">
        <f>+'Project Orto'!R196</f>
        <v>2</v>
      </c>
      <c r="S338" s="6">
        <f>+'Project Orto'!S196</f>
        <v>202</v>
      </c>
      <c r="T338" s="6">
        <f>+'Project Orto'!T196</f>
        <v>1.846233888888889</v>
      </c>
      <c r="U338" s="6">
        <f>+'Project Orto'!U196</f>
        <v>1.6616105000000001</v>
      </c>
      <c r="V338" s="81">
        <f>+'Project Orto'!V196</f>
        <v>1.7093479012837065</v>
      </c>
      <c r="W338" s="82">
        <f>+'Project Orto'!W196</f>
        <v>1.12806736845E-2</v>
      </c>
      <c r="X338" s="82">
        <f>+'Project Orto'!X196</f>
        <v>31.815000000000005</v>
      </c>
      <c r="Y338" s="82">
        <f>+'Project Orto'!Y196</f>
        <v>11.893822393822393</v>
      </c>
      <c r="Z338" s="82">
        <f>+'Project Orto'!Z196</f>
        <v>0.53644399862380954</v>
      </c>
      <c r="AA338" s="82">
        <f>+'Project Orto'!AA196</f>
        <v>0.21401781912671894</v>
      </c>
      <c r="AB338" s="82">
        <f>+'Project Orto'!AB196</f>
        <v>0</v>
      </c>
      <c r="AC338" s="83">
        <f t="shared" si="334"/>
        <v>46.179912786541131</v>
      </c>
      <c r="AD338" s="93">
        <f t="shared" si="335"/>
        <v>23.089956393270565</v>
      </c>
      <c r="AE338" s="93">
        <f t="shared" si="336"/>
        <v>30</v>
      </c>
      <c r="AF338" s="90">
        <f t="shared" si="337"/>
        <v>6.9100436067294346</v>
      </c>
      <c r="AG338" s="91">
        <f t="shared" si="338"/>
        <v>0.29926620427673595</v>
      </c>
      <c r="AH338" s="92">
        <f t="shared" si="339"/>
        <v>60</v>
      </c>
    </row>
    <row r="339" spans="1:34" x14ac:dyDescent="0.3">
      <c r="A339" s="223"/>
      <c r="B339" s="4" t="str">
        <f t="shared" ref="B339:J339" si="353">+B310</f>
        <v>ORTO</v>
      </c>
      <c r="C339" s="4" t="str">
        <f t="shared" si="353"/>
        <v>Caraffa colonna twist2</v>
      </c>
      <c r="D339" s="5">
        <f t="shared" si="353"/>
        <v>2</v>
      </c>
      <c r="E339" s="5">
        <f t="shared" si="353"/>
        <v>1</v>
      </c>
      <c r="F339" s="5">
        <f t="shared" si="353"/>
        <v>1.45</v>
      </c>
      <c r="G339" s="5">
        <f t="shared" si="353"/>
        <v>105</v>
      </c>
      <c r="H339" s="4">
        <f t="shared" si="353"/>
        <v>3.4271101000000001E-4</v>
      </c>
      <c r="I339" s="6">
        <f t="shared" si="353"/>
        <v>0.95197502777777776</v>
      </c>
      <c r="J339" s="6">
        <f t="shared" si="353"/>
        <v>0.85677752500000004</v>
      </c>
      <c r="R339" s="5">
        <f>+'Project Orto'!R197</f>
        <v>2</v>
      </c>
      <c r="S339" s="6">
        <f>+'Project Orto'!S197</f>
        <v>210</v>
      </c>
      <c r="T339" s="6">
        <f>+'Project Orto'!T197</f>
        <v>1.9039500555555555</v>
      </c>
      <c r="U339" s="6">
        <f>+'Project Orto'!U197</f>
        <v>1.7135550500000001</v>
      </c>
      <c r="V339" s="81">
        <f>+'Project Orto'!V197</f>
        <v>1.7770448478691998</v>
      </c>
      <c r="W339" s="82">
        <f>+'Project Orto'!W197</f>
        <v>1.1633325234450001E-2</v>
      </c>
      <c r="X339" s="82">
        <f>+'Project Orto'!X197</f>
        <v>33.075000000000003</v>
      </c>
      <c r="Y339" s="82">
        <f>+'Project Orto'!Y197</f>
        <v>12.364864864864865</v>
      </c>
      <c r="Z339" s="82">
        <f>+'Project Orto'!Z197</f>
        <v>0.55768930550000007</v>
      </c>
      <c r="AA339" s="82">
        <f>+'Project Orto'!AA197</f>
        <v>0.22070835177953907</v>
      </c>
      <c r="AB339" s="82">
        <f>+'Project Orto'!AB197</f>
        <v>0</v>
      </c>
      <c r="AC339" s="83">
        <f t="shared" si="334"/>
        <v>48.006940695248055</v>
      </c>
      <c r="AD339" s="93">
        <f t="shared" si="335"/>
        <v>24.003470347624027</v>
      </c>
      <c r="AE339" s="93">
        <f t="shared" si="336"/>
        <v>30</v>
      </c>
      <c r="AF339" s="90">
        <f t="shared" si="337"/>
        <v>5.9965296523759726</v>
      </c>
      <c r="AG339" s="91">
        <f t="shared" si="338"/>
        <v>0.24981927885979771</v>
      </c>
      <c r="AH339" s="92">
        <f t="shared" si="339"/>
        <v>60</v>
      </c>
    </row>
    <row r="340" spans="1:34" x14ac:dyDescent="0.3">
      <c r="A340" s="223"/>
      <c r="B340" s="4" t="str">
        <f t="shared" ref="B340:J340" si="354">+B311</f>
        <v>ORTO</v>
      </c>
      <c r="C340" s="4" t="str">
        <f t="shared" si="354"/>
        <v>Caraffa colonna twist3</v>
      </c>
      <c r="D340" s="5">
        <f t="shared" si="354"/>
        <v>2</v>
      </c>
      <c r="E340" s="5">
        <f t="shared" si="354"/>
        <v>1</v>
      </c>
      <c r="F340" s="5">
        <f t="shared" si="354"/>
        <v>1.42</v>
      </c>
      <c r="G340" s="5">
        <f t="shared" si="354"/>
        <v>102</v>
      </c>
      <c r="H340" s="4">
        <f t="shared" si="354"/>
        <v>3.3727121999999998E-4</v>
      </c>
      <c r="I340" s="6">
        <f t="shared" si="354"/>
        <v>0.93686449999999988</v>
      </c>
      <c r="J340" s="6">
        <f t="shared" si="354"/>
        <v>0.8431780499999999</v>
      </c>
      <c r="R340" s="5">
        <f>+'Project Orto'!R198</f>
        <v>2</v>
      </c>
      <c r="S340" s="6">
        <f>+'Project Orto'!S198</f>
        <v>204</v>
      </c>
      <c r="T340" s="6">
        <f>+'Project Orto'!T198</f>
        <v>1.8737289999999998</v>
      </c>
      <c r="U340" s="6">
        <f>+'Project Orto'!U198</f>
        <v>1.6863560999999998</v>
      </c>
      <c r="V340" s="81">
        <f>+'Project Orto'!V198</f>
        <v>1.7262721379300801</v>
      </c>
      <c r="W340" s="82">
        <f>+'Project Orto'!W198</f>
        <v>1.1448671562899998E-2</v>
      </c>
      <c r="X340" s="82">
        <f>+'Project Orto'!X198</f>
        <v>32.130000000000003</v>
      </c>
      <c r="Y340" s="82">
        <f>+'Project Orto'!Y198</f>
        <v>12.011583011583012</v>
      </c>
      <c r="Z340" s="82">
        <f>+'Project Orto'!Z198</f>
        <v>0.5417553253428572</v>
      </c>
      <c r="AA340" s="82">
        <f>+'Project Orto'!AA198</f>
        <v>0.21720508795114082</v>
      </c>
      <c r="AB340" s="82">
        <f>+'Project Orto'!AB198</f>
        <v>0</v>
      </c>
      <c r="AC340" s="83">
        <f t="shared" si="334"/>
        <v>46.638264234369991</v>
      </c>
      <c r="AD340" s="93">
        <f t="shared" si="335"/>
        <v>23.319132117184996</v>
      </c>
      <c r="AE340" s="93">
        <f t="shared" si="336"/>
        <v>30</v>
      </c>
      <c r="AF340" s="90">
        <f t="shared" si="337"/>
        <v>6.6808678828150043</v>
      </c>
      <c r="AG340" s="91">
        <f t="shared" si="338"/>
        <v>0.28649727825383131</v>
      </c>
      <c r="AH340" s="92">
        <f t="shared" si="339"/>
        <v>60</v>
      </c>
    </row>
    <row r="341" spans="1:34" x14ac:dyDescent="0.3">
      <c r="A341" s="223"/>
      <c r="B341" s="4" t="str">
        <f t="shared" ref="B341:J341" si="355">+B312</f>
        <v>ORTO</v>
      </c>
      <c r="C341" s="4" t="str">
        <f t="shared" si="355"/>
        <v>Bicchiere colonna twist1</v>
      </c>
      <c r="D341" s="5">
        <f t="shared" si="355"/>
        <v>1</v>
      </c>
      <c r="E341" s="5">
        <f t="shared" si="355"/>
        <v>1</v>
      </c>
      <c r="F341" s="5">
        <f t="shared" si="355"/>
        <v>0.57999999999999996</v>
      </c>
      <c r="G341" s="5">
        <f t="shared" si="355"/>
        <v>58</v>
      </c>
      <c r="H341" s="4">
        <f t="shared" si="355"/>
        <v>9.7981700000000004E-5</v>
      </c>
      <c r="I341" s="6">
        <f t="shared" si="355"/>
        <v>0.27217138888888892</v>
      </c>
      <c r="J341" s="6">
        <f t="shared" si="355"/>
        <v>0.24495425000000001</v>
      </c>
      <c r="R341" s="5">
        <f>+'Project Orto'!R199</f>
        <v>12</v>
      </c>
      <c r="S341" s="6">
        <f>+'Project Orto'!S199</f>
        <v>696</v>
      </c>
      <c r="T341" s="6">
        <f>+'Project Orto'!T199</f>
        <v>3.2660566666666671</v>
      </c>
      <c r="U341" s="6">
        <f>+'Project Orto'!U199</f>
        <v>2.939451</v>
      </c>
      <c r="V341" s="81">
        <f>+'Project Orto'!V199</f>
        <v>5.8896343529379198</v>
      </c>
      <c r="W341" s="82">
        <f>+'Project Orto'!W199</f>
        <v>1.9955932839000001E-2</v>
      </c>
      <c r="X341" s="82">
        <f>+'Project Orto'!X199</f>
        <v>109.62000000000002</v>
      </c>
      <c r="Y341" s="82">
        <f>+'Project Orto'!Y199</f>
        <v>40.980694980694977</v>
      </c>
      <c r="Z341" s="82">
        <f>+'Project Orto'!Z199</f>
        <v>1.8483416982285714</v>
      </c>
      <c r="AA341" s="82">
        <f>+'Project Orto'!AA199</f>
        <v>0.37860551100865886</v>
      </c>
      <c r="AB341" s="82">
        <f>+'Project Orto'!AB199</f>
        <v>0</v>
      </c>
      <c r="AC341" s="83">
        <f t="shared" si="334"/>
        <v>158.73723247570913</v>
      </c>
      <c r="AD341" s="93">
        <f t="shared" si="335"/>
        <v>13.228102706309095</v>
      </c>
      <c r="AE341" s="93">
        <f t="shared" si="336"/>
        <v>15</v>
      </c>
      <c r="AF341" s="90">
        <f t="shared" si="337"/>
        <v>1.7718972936909054</v>
      </c>
      <c r="AG341" s="91">
        <f t="shared" si="338"/>
        <v>0.13394946599906618</v>
      </c>
      <c r="AH341" s="92">
        <f t="shared" si="339"/>
        <v>180</v>
      </c>
    </row>
    <row r="342" spans="1:34" x14ac:dyDescent="0.3">
      <c r="A342" s="223"/>
      <c r="B342" s="4" t="str">
        <f t="shared" ref="B342:J342" si="356">+B313</f>
        <v>ORTO</v>
      </c>
      <c r="C342" s="4" t="str">
        <f t="shared" si="356"/>
        <v>Bicchiere colonna twist2</v>
      </c>
      <c r="D342" s="5">
        <f t="shared" si="356"/>
        <v>1</v>
      </c>
      <c r="E342" s="5">
        <f t="shared" si="356"/>
        <v>1</v>
      </c>
      <c r="F342" s="5">
        <f t="shared" si="356"/>
        <v>0.59</v>
      </c>
      <c r="G342" s="5">
        <f t="shared" si="356"/>
        <v>59</v>
      </c>
      <c r="H342" s="4">
        <f t="shared" si="356"/>
        <v>9.7982366999999995E-5</v>
      </c>
      <c r="I342" s="6">
        <f t="shared" si="356"/>
        <v>0.27217324166666662</v>
      </c>
      <c r="J342" s="6">
        <f t="shared" si="356"/>
        <v>0.24495591749999998</v>
      </c>
      <c r="R342" s="5">
        <f>+'Project Orto'!R200</f>
        <v>12</v>
      </c>
      <c r="S342" s="6">
        <f>+'Project Orto'!S200</f>
        <v>708</v>
      </c>
      <c r="T342" s="6">
        <f>+'Project Orto'!T200</f>
        <v>3.2660788999999992</v>
      </c>
      <c r="U342" s="6">
        <f>+'Project Orto'!U200</f>
        <v>2.9394710099999997</v>
      </c>
      <c r="V342" s="81">
        <f>+'Project Orto'!V200</f>
        <v>5.9911797728161593</v>
      </c>
      <c r="W342" s="82">
        <f>+'Project Orto'!W200</f>
        <v>1.9956068686889997E-2</v>
      </c>
      <c r="X342" s="82">
        <f>+'Project Orto'!X200</f>
        <v>111.51000000000002</v>
      </c>
      <c r="Y342" s="82">
        <f>+'Project Orto'!Y200</f>
        <v>41.687258687258691</v>
      </c>
      <c r="Z342" s="82">
        <f>+'Project Orto'!Z200</f>
        <v>1.8802096585428572</v>
      </c>
      <c r="AA342" s="82">
        <f>+'Project Orto'!AA200</f>
        <v>0.37860808832540094</v>
      </c>
      <c r="AB342" s="82">
        <f>+'Project Orto'!AB200</f>
        <v>0</v>
      </c>
      <c r="AC342" s="83">
        <f t="shared" si="334"/>
        <v>161.46721227563</v>
      </c>
      <c r="AD342" s="93">
        <f t="shared" si="335"/>
        <v>13.455601022969168</v>
      </c>
      <c r="AE342" s="93">
        <f t="shared" si="336"/>
        <v>15</v>
      </c>
      <c r="AF342" s="90">
        <f t="shared" si="337"/>
        <v>1.5443989770308324</v>
      </c>
      <c r="AG342" s="91">
        <f t="shared" si="338"/>
        <v>0.11477740566136667</v>
      </c>
      <c r="AH342" s="92">
        <f t="shared" si="339"/>
        <v>180</v>
      </c>
    </row>
    <row r="343" spans="1:34" x14ac:dyDescent="0.3">
      <c r="A343" s="223"/>
      <c r="B343" s="4" t="str">
        <f t="shared" ref="B343:J343" si="357">+B314</f>
        <v>ORTO</v>
      </c>
      <c r="C343" s="4" t="str">
        <f t="shared" si="357"/>
        <v>Bicchiere colonna twist3</v>
      </c>
      <c r="D343" s="5">
        <f t="shared" si="357"/>
        <v>1</v>
      </c>
      <c r="E343" s="5">
        <f t="shared" si="357"/>
        <v>1</v>
      </c>
      <c r="F343" s="5">
        <f t="shared" si="357"/>
        <v>0.59</v>
      </c>
      <c r="G343" s="5">
        <f t="shared" si="357"/>
        <v>59</v>
      </c>
      <c r="H343" s="4">
        <f t="shared" si="357"/>
        <v>9.7984652999999995E-5</v>
      </c>
      <c r="I343" s="6">
        <f t="shared" si="357"/>
        <v>0.27217959166666666</v>
      </c>
      <c r="J343" s="6">
        <f t="shared" si="357"/>
        <v>0.2449616325</v>
      </c>
      <c r="R343" s="5">
        <f>+'Project Orto'!R201</f>
        <v>12</v>
      </c>
      <c r="S343" s="6">
        <f>+'Project Orto'!S201</f>
        <v>708</v>
      </c>
      <c r="T343" s="6">
        <f>+'Project Orto'!T201</f>
        <v>3.2661550999999998</v>
      </c>
      <c r="U343" s="6">
        <f>+'Project Orto'!U201</f>
        <v>2.9395395899999999</v>
      </c>
      <c r="V343" s="81">
        <f>+'Project Orto'!V201</f>
        <v>5.9911797728161593</v>
      </c>
      <c r="W343" s="82">
        <f>+'Project Orto'!W201</f>
        <v>1.995653427651E-2</v>
      </c>
      <c r="X343" s="82">
        <f>+'Project Orto'!X201</f>
        <v>111.51000000000002</v>
      </c>
      <c r="Y343" s="82">
        <f>+'Project Orto'!Y201</f>
        <v>41.687258687258691</v>
      </c>
      <c r="Z343" s="82">
        <f>+'Project Orto'!Z201</f>
        <v>1.8802096585428572</v>
      </c>
      <c r="AA343" s="82">
        <f>+'Project Orto'!AA201</f>
        <v>0.37861692152790888</v>
      </c>
      <c r="AB343" s="82">
        <f>+'Project Orto'!AB201</f>
        <v>0</v>
      </c>
      <c r="AC343" s="83">
        <f t="shared" si="334"/>
        <v>161.46722157442215</v>
      </c>
      <c r="AD343" s="93">
        <f t="shared" si="335"/>
        <v>13.455601797868512</v>
      </c>
      <c r="AE343" s="93">
        <f t="shared" si="336"/>
        <v>15</v>
      </c>
      <c r="AF343" s="90">
        <f t="shared" si="337"/>
        <v>1.5443982021314877</v>
      </c>
      <c r="AG343" s="91">
        <f t="shared" si="338"/>
        <v>0.11477734146206187</v>
      </c>
      <c r="AH343" s="92">
        <f t="shared" si="339"/>
        <v>180</v>
      </c>
    </row>
    <row r="344" spans="1:34" x14ac:dyDescent="0.3">
      <c r="A344" s="223"/>
      <c r="B344" s="4" t="str">
        <f t="shared" ref="B344:J344" si="358">+B315</f>
        <v>ORTO</v>
      </c>
      <c r="C344" s="4" t="str">
        <f t="shared" si="358"/>
        <v>Bicchiere colonna twist alto</v>
      </c>
      <c r="D344" s="5">
        <f t="shared" si="358"/>
        <v>1</v>
      </c>
      <c r="E344" s="5">
        <f t="shared" si="358"/>
        <v>1</v>
      </c>
      <c r="F344" s="5">
        <f t="shared" si="358"/>
        <v>0.57999999999999996</v>
      </c>
      <c r="G344" s="5">
        <f t="shared" si="358"/>
        <v>58</v>
      </c>
      <c r="H344" s="4">
        <f t="shared" si="358"/>
        <v>9.4065272999999995E-5</v>
      </c>
      <c r="I344" s="6">
        <f t="shared" si="358"/>
        <v>0.26129242499999999</v>
      </c>
      <c r="J344" s="6">
        <f t="shared" si="358"/>
        <v>0.23516318249999998</v>
      </c>
      <c r="R344" s="5">
        <f>+'Project Orto'!R202</f>
        <v>12</v>
      </c>
      <c r="S344" s="6">
        <f>+'Project Orto'!S202</f>
        <v>696</v>
      </c>
      <c r="T344" s="6">
        <f>+'Project Orto'!T202</f>
        <v>3.1355091000000002</v>
      </c>
      <c r="U344" s="6">
        <f>+'Project Orto'!U202</f>
        <v>2.8219581899999997</v>
      </c>
      <c r="V344" s="81">
        <f>+'Project Orto'!V202</f>
        <v>5.8896343529379198</v>
      </c>
      <c r="W344" s="82">
        <f>+'Project Orto'!W202</f>
        <v>1.9158274151909998E-2</v>
      </c>
      <c r="X344" s="82">
        <f>+'Project Orto'!X202</f>
        <v>109.62000000000002</v>
      </c>
      <c r="Y344" s="82">
        <f>+'Project Orto'!Y202</f>
        <v>40.980694980694977</v>
      </c>
      <c r="Z344" s="82">
        <f>+'Project Orto'!Z202</f>
        <v>1.8483416982285714</v>
      </c>
      <c r="AA344" s="82">
        <f>+'Project Orto'!AA202</f>
        <v>0.36347226831473628</v>
      </c>
      <c r="AB344" s="82">
        <f>+'Project Orto'!AB202</f>
        <v>0</v>
      </c>
      <c r="AC344" s="83">
        <f t="shared" si="334"/>
        <v>158.72130157432812</v>
      </c>
      <c r="AD344" s="93">
        <f t="shared" si="335"/>
        <v>13.22677513119401</v>
      </c>
      <c r="AE344" s="93">
        <f t="shared" si="336"/>
        <v>15</v>
      </c>
      <c r="AF344" s="90">
        <f t="shared" si="337"/>
        <v>1.7732248688059897</v>
      </c>
      <c r="AG344" s="91">
        <f t="shared" si="338"/>
        <v>0.13406328082376015</v>
      </c>
      <c r="AH344" s="92">
        <f t="shared" si="339"/>
        <v>180</v>
      </c>
    </row>
    <row r="345" spans="1:34" x14ac:dyDescent="0.3">
      <c r="A345" s="223"/>
      <c r="B345" s="4" t="str">
        <f t="shared" ref="B345:J345" si="359">+B316</f>
        <v>LA GALLINA</v>
      </c>
      <c r="C345" s="4" t="str">
        <f t="shared" si="359"/>
        <v>Oliera1</v>
      </c>
      <c r="D345" s="5">
        <f t="shared" si="359"/>
        <v>2</v>
      </c>
      <c r="E345" s="5">
        <f t="shared" si="359"/>
        <v>1</v>
      </c>
      <c r="F345" s="5">
        <f t="shared" si="359"/>
        <v>0.54</v>
      </c>
      <c r="G345" s="5">
        <f t="shared" si="359"/>
        <v>54</v>
      </c>
      <c r="H345" s="4">
        <f t="shared" si="359"/>
        <v>1.830542E-4</v>
      </c>
      <c r="I345" s="6">
        <f t="shared" si="359"/>
        <v>0.50848388888888885</v>
      </c>
      <c r="J345" s="6">
        <f t="shared" si="359"/>
        <v>0.45763549999999997</v>
      </c>
      <c r="R345" s="5">
        <f>+'Project La Gallina'!R93</f>
        <v>10</v>
      </c>
      <c r="S345" s="6">
        <f>+'Project La Gallina'!S93</f>
        <v>540</v>
      </c>
      <c r="T345" s="6">
        <f>+'Project La Gallina'!T93</f>
        <v>5.0848388888888882</v>
      </c>
      <c r="U345" s="6">
        <f>+'Project La Gallina'!U93</f>
        <v>4.5763549999999995</v>
      </c>
      <c r="V345" s="81">
        <f>+'Project La Gallina'!V93</f>
        <v>4.5695438945208</v>
      </c>
      <c r="W345" s="82">
        <f>+'Project La Gallina'!W93</f>
        <v>3.1068874094999997E-2</v>
      </c>
      <c r="X345" s="82">
        <f>+'Project La Gallina'!X93</f>
        <v>85.050000000000011</v>
      </c>
      <c r="Y345" s="82">
        <f>+'Project La Gallina'!Y93</f>
        <v>31.795366795366796</v>
      </c>
      <c r="Z345" s="82">
        <f>+'Project La Gallina'!Z93</f>
        <v>1.2857142857142856</v>
      </c>
      <c r="AA345" s="82">
        <f>+'Project La Gallina'!AA93</f>
        <v>0.5894410974471187</v>
      </c>
      <c r="AB345" s="82">
        <f>+'Project La Gallina'!AB93</f>
        <v>0</v>
      </c>
      <c r="AC345" s="83">
        <f t="shared" si="334"/>
        <v>123.32113494714402</v>
      </c>
      <c r="AD345" s="93">
        <f t="shared" si="335"/>
        <v>12.332113494714402</v>
      </c>
      <c r="AE345" s="93">
        <f t="shared" si="336"/>
        <v>20</v>
      </c>
      <c r="AF345" s="90">
        <f t="shared" si="337"/>
        <v>7.6678865052855976</v>
      </c>
      <c r="AG345" s="91">
        <f t="shared" si="338"/>
        <v>0.62178202532534976</v>
      </c>
      <c r="AH345" s="92">
        <f t="shared" si="339"/>
        <v>200</v>
      </c>
    </row>
    <row r="346" spans="1:34" ht="15" thickBot="1" x14ac:dyDescent="0.35">
      <c r="A346" s="224"/>
      <c r="B346" s="4" t="str">
        <f t="shared" ref="B346:J346" si="360">+B317</f>
        <v>LA GALLINA</v>
      </c>
      <c r="C346" s="4" t="str">
        <f t="shared" si="360"/>
        <v>Piatto spirale</v>
      </c>
      <c r="D346" s="5">
        <f t="shared" si="360"/>
        <v>4</v>
      </c>
      <c r="E346" s="5">
        <f t="shared" si="360"/>
        <v>5</v>
      </c>
      <c r="F346" s="5">
        <f t="shared" si="360"/>
        <v>0.25</v>
      </c>
      <c r="G346" s="5">
        <f t="shared" si="360"/>
        <v>25</v>
      </c>
      <c r="H346" s="4">
        <f t="shared" si="360"/>
        <v>1.575448E-4</v>
      </c>
      <c r="I346" s="6">
        <f t="shared" si="360"/>
        <v>0.43762444444444443</v>
      </c>
      <c r="J346" s="6">
        <f t="shared" si="360"/>
        <v>0.39386199999999999</v>
      </c>
      <c r="R346" s="5">
        <f>+'Project La Gallina'!R94</f>
        <v>10</v>
      </c>
      <c r="S346" s="6">
        <f>+'Project La Gallina'!S94</f>
        <v>250</v>
      </c>
      <c r="T346" s="6">
        <f>+'Project La Gallina'!T94</f>
        <v>4.3762444444444446</v>
      </c>
      <c r="U346" s="6">
        <f>+'Project La Gallina'!U94</f>
        <v>3.9386199999999998</v>
      </c>
      <c r="V346" s="84">
        <f>+'Project La Gallina'!V94</f>
        <v>2.1155295807966668</v>
      </c>
      <c r="W346" s="85">
        <f>+'Project La Gallina'!W94</f>
        <v>2.6739291179999999E-2</v>
      </c>
      <c r="X346" s="85">
        <f>+'Project La Gallina'!X94</f>
        <v>39.375000000000007</v>
      </c>
      <c r="Y346" s="85">
        <f>+'Project La Gallina'!Y94</f>
        <v>14.72007722007722</v>
      </c>
      <c r="Z346" s="85">
        <f>+'Project La Gallina'!Z94</f>
        <v>0.59523809523809523</v>
      </c>
      <c r="AA346" s="85">
        <f>+'Project La Gallina'!AA94</f>
        <v>0.50729991340863434</v>
      </c>
      <c r="AB346" s="85">
        <f>+'Project La Gallina'!AB94</f>
        <v>0</v>
      </c>
      <c r="AC346" s="83">
        <f t="shared" si="334"/>
        <v>57.33988410070063</v>
      </c>
      <c r="AD346" s="93">
        <f t="shared" si="335"/>
        <v>5.7339884100700633</v>
      </c>
      <c r="AE346" s="93">
        <f t="shared" si="336"/>
        <v>15</v>
      </c>
      <c r="AF346" s="90">
        <f t="shared" si="337"/>
        <v>9.2660115899299367</v>
      </c>
      <c r="AG346" s="91">
        <f t="shared" si="338"/>
        <v>1.6159801742286248</v>
      </c>
      <c r="AH346" s="92">
        <f t="shared" si="339"/>
        <v>150</v>
      </c>
    </row>
  </sheetData>
  <autoFilter ref="B4:AI4" xr:uid="{A261D3EF-DCD0-46C4-9FC0-F29520733099}"/>
  <mergeCells count="84">
    <mergeCell ref="F322:G322"/>
    <mergeCell ref="AF322:AG322"/>
    <mergeCell ref="A324:A346"/>
    <mergeCell ref="F293:G293"/>
    <mergeCell ref="AF293:AG293"/>
    <mergeCell ref="A295:A317"/>
    <mergeCell ref="D320:Q320"/>
    <mergeCell ref="D321:J321"/>
    <mergeCell ref="M321:Q321"/>
    <mergeCell ref="V321:AC321"/>
    <mergeCell ref="F264:G264"/>
    <mergeCell ref="AF264:AG264"/>
    <mergeCell ref="A266:A288"/>
    <mergeCell ref="D291:Q291"/>
    <mergeCell ref="D292:J292"/>
    <mergeCell ref="M292:Q292"/>
    <mergeCell ref="V292:AC292"/>
    <mergeCell ref="F235:G235"/>
    <mergeCell ref="AF235:AG235"/>
    <mergeCell ref="A237:A259"/>
    <mergeCell ref="D262:Q262"/>
    <mergeCell ref="D263:J263"/>
    <mergeCell ref="M263:Q263"/>
    <mergeCell ref="V263:AC263"/>
    <mergeCell ref="F206:G206"/>
    <mergeCell ref="AF206:AG206"/>
    <mergeCell ref="A208:A230"/>
    <mergeCell ref="D233:Q233"/>
    <mergeCell ref="D234:J234"/>
    <mergeCell ref="M234:Q234"/>
    <mergeCell ref="V234:AC234"/>
    <mergeCell ref="F177:G177"/>
    <mergeCell ref="AF177:AG177"/>
    <mergeCell ref="A179:A201"/>
    <mergeCell ref="D204:Q204"/>
    <mergeCell ref="D205:J205"/>
    <mergeCell ref="M205:Q205"/>
    <mergeCell ref="V205:AC205"/>
    <mergeCell ref="F148:G148"/>
    <mergeCell ref="AF148:AG148"/>
    <mergeCell ref="A150:A172"/>
    <mergeCell ref="D175:Q175"/>
    <mergeCell ref="D176:J176"/>
    <mergeCell ref="M176:Q176"/>
    <mergeCell ref="V176:AC176"/>
    <mergeCell ref="F119:G119"/>
    <mergeCell ref="AF119:AG119"/>
    <mergeCell ref="A121:A143"/>
    <mergeCell ref="D146:Q146"/>
    <mergeCell ref="D147:J147"/>
    <mergeCell ref="M147:Q147"/>
    <mergeCell ref="V147:AC147"/>
    <mergeCell ref="F90:G90"/>
    <mergeCell ref="AF90:AG90"/>
    <mergeCell ref="A92:A114"/>
    <mergeCell ref="D117:Q117"/>
    <mergeCell ref="D118:J118"/>
    <mergeCell ref="M118:Q118"/>
    <mergeCell ref="V118:AC118"/>
    <mergeCell ref="F61:G61"/>
    <mergeCell ref="AF61:AG61"/>
    <mergeCell ref="A63:A85"/>
    <mergeCell ref="D88:Q88"/>
    <mergeCell ref="D89:J89"/>
    <mergeCell ref="M89:Q89"/>
    <mergeCell ref="V89:AC89"/>
    <mergeCell ref="F32:G32"/>
    <mergeCell ref="AF32:AG32"/>
    <mergeCell ref="A34:A56"/>
    <mergeCell ref="D59:Q59"/>
    <mergeCell ref="D60:J60"/>
    <mergeCell ref="M60:Q60"/>
    <mergeCell ref="V60:AC60"/>
    <mergeCell ref="A5:A27"/>
    <mergeCell ref="D30:Q30"/>
    <mergeCell ref="D31:J31"/>
    <mergeCell ref="M31:Q31"/>
    <mergeCell ref="V31:AC31"/>
    <mergeCell ref="AF3:AG3"/>
    <mergeCell ref="D2:J2"/>
    <mergeCell ref="M2:Q2"/>
    <mergeCell ref="D1:Q1"/>
    <mergeCell ref="V2:AC2"/>
    <mergeCell ref="F3:G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78956-074F-4A76-A880-A41663A14240}">
  <sheetPr>
    <tabColor theme="3" tint="0.499984740745262"/>
  </sheetPr>
  <dimension ref="A1:AC190"/>
  <sheetViews>
    <sheetView zoomScale="86" zoomScaleNormal="85" workbookViewId="0">
      <pane xSplit="3" ySplit="4" topLeftCell="U169" activePane="bottomRight" state="frozen"/>
      <selection activeCell="B4" sqref="B4"/>
      <selection pane="topRight" activeCell="B4" sqref="B4"/>
      <selection pane="bottomLeft" activeCell="B4" sqref="B4"/>
      <selection pane="bottomRight" activeCell="AB181" sqref="AB181:AB190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bestFit="1" customWidth="1"/>
    <col min="6" max="6" width="8.44140625" bestFit="1" customWidth="1"/>
    <col min="7" max="7" width="8.44140625" customWidth="1"/>
    <col min="8" max="8" width="15.44140625" bestFit="1" customWidth="1"/>
    <col min="9" max="10" width="14" bestFit="1" customWidth="1"/>
    <col min="11" max="11" width="10.44140625" hidden="1" customWidth="1" outlineLevel="1"/>
    <col min="12" max="12" width="13.44140625" hidden="1" customWidth="1" outlineLevel="1"/>
    <col min="13" max="13" width="16.5546875" hidden="1" customWidth="1" outlineLevel="1"/>
    <col min="14" max="14" width="14.6640625" hidden="1" customWidth="1" outlineLevel="1"/>
    <col min="15" max="15" width="14" hidden="1" customWidth="1" outlineLevel="1"/>
    <col min="16" max="16" width="13.664062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6.5546875" bestFit="1" customWidth="1"/>
    <col min="23" max="23" width="14.6640625" bestFit="1" customWidth="1"/>
    <col min="24" max="24" width="12" bestFit="1" customWidth="1"/>
    <col min="25" max="25" width="13.6640625" bestFit="1" customWidth="1"/>
    <col min="26" max="26" width="15.88671875" bestFit="1" customWidth="1"/>
    <col min="27" max="28" width="15.88671875" customWidth="1"/>
    <col min="29" max="29" width="14.6640625" bestFit="1" customWidth="1"/>
  </cols>
  <sheetData>
    <row r="1" spans="1:29" ht="18" x14ac:dyDescent="0.35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4" t="s">
        <v>32</v>
      </c>
      <c r="S1" s="47">
        <f>+S3/60/7</f>
        <v>8.2238095238095248</v>
      </c>
      <c r="T1" t="s">
        <v>83</v>
      </c>
    </row>
    <row r="2" spans="1:29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41" t="s">
        <v>41</v>
      </c>
      <c r="W2" s="241"/>
      <c r="X2" s="241"/>
      <c r="Y2" s="241"/>
      <c r="Z2" s="241"/>
      <c r="AA2" s="241"/>
      <c r="AB2" s="241"/>
      <c r="AC2" s="241"/>
    </row>
    <row r="3" spans="1:29" ht="18" x14ac:dyDescent="0.35">
      <c r="F3" s="225" t="s">
        <v>44</v>
      </c>
      <c r="G3" s="225"/>
      <c r="I3" s="20">
        <f>SUBTOTAL(9,I5:I14)</f>
        <v>51.856758661111115</v>
      </c>
      <c r="J3" s="20">
        <f>SUBTOTAL(9,J5:J14)</f>
        <v>46.67108279499999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 t="shared" ref="S3:AC3" si="0">SUBTOTAL(9,S5:S14)</f>
        <v>3454</v>
      </c>
      <c r="T3" s="17">
        <f t="shared" si="0"/>
        <v>119.7720534861111</v>
      </c>
      <c r="U3" s="17">
        <f t="shared" si="0"/>
        <v>107.7948481375</v>
      </c>
      <c r="V3" s="18">
        <f t="shared" si="0"/>
        <v>29.228156688286745</v>
      </c>
      <c r="W3" s="18">
        <f t="shared" si="0"/>
        <v>0.73181922400548749</v>
      </c>
      <c r="X3" s="18">
        <f t="shared" si="0"/>
        <v>544.00500000000011</v>
      </c>
      <c r="Y3" s="18">
        <f t="shared" si="0"/>
        <v>203.37258687258691</v>
      </c>
      <c r="Z3" s="18">
        <f t="shared" si="0"/>
        <v>9.1726612437952397</v>
      </c>
      <c r="AA3" s="18">
        <f t="shared" si="0"/>
        <v>13.884131275941989</v>
      </c>
      <c r="AB3" s="18">
        <f t="shared" si="0"/>
        <v>468</v>
      </c>
      <c r="AC3" s="19">
        <f t="shared" si="0"/>
        <v>1268.3943553046165</v>
      </c>
    </row>
    <row r="4" spans="1:29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79</v>
      </c>
      <c r="Q4" s="1" t="s">
        <v>38</v>
      </c>
      <c r="R4" s="1" t="s">
        <v>39</v>
      </c>
      <c r="S4" s="2" t="s">
        <v>43</v>
      </c>
      <c r="T4" s="2" t="s">
        <v>2</v>
      </c>
      <c r="U4" s="2" t="s">
        <v>7</v>
      </c>
      <c r="V4" s="2" t="str">
        <f>+'Finished goods'!K4</f>
        <v>energia €/h</v>
      </c>
      <c r="W4" s="2" t="str">
        <f>+'Finished goods'!L4</f>
        <v>materiale €/Kg</v>
      </c>
      <c r="X4" s="2" t="str">
        <f>+'Finished goods'!M4</f>
        <v>mod</v>
      </c>
      <c r="Y4" s="2" t="str">
        <f>+'Finished goods'!N4</f>
        <v>ammort</v>
      </c>
      <c r="Z4" s="2" t="str">
        <f>+'Finished goods'!Q4</f>
        <v>Accensione</v>
      </c>
      <c r="AA4" s="3" t="s">
        <v>111</v>
      </c>
      <c r="AB4" s="3" t="s">
        <v>115</v>
      </c>
      <c r="AC4" s="3" t="s">
        <v>42</v>
      </c>
    </row>
    <row r="5" spans="1:29" x14ac:dyDescent="0.3">
      <c r="A5" s="242" t="s">
        <v>411</v>
      </c>
      <c r="B5" s="21" t="s">
        <v>122</v>
      </c>
      <c r="C5" s="4" t="str">
        <f>+'Finished goods'!A5</f>
        <v>Tavolo twist Logo</v>
      </c>
      <c r="D5" s="5">
        <f>VLOOKUP($C5,'Finished goods'!$A$5:$Q$27,2,FALSE)</f>
        <v>8</v>
      </c>
      <c r="E5" s="5">
        <f>VLOOKUP($C5,'Finished goods'!$A$5:$Q$27,3,FALSE)</f>
        <v>10</v>
      </c>
      <c r="F5" s="5">
        <f>VLOOKUP($C5,'Finished goods'!$A$5:$Q$27,4,FALSE)</f>
        <v>1.22</v>
      </c>
      <c r="G5" s="5">
        <f>VLOOKUP($C5,'Finished goods'!$A$5:$Q$27,5,FALSE)</f>
        <v>82</v>
      </c>
      <c r="H5" s="8">
        <f>VLOOKUP($C5,'Finished goods'!$A$5:$Q$27,6,FALSE)</f>
        <v>7.9769999999999997E-3</v>
      </c>
      <c r="I5" s="9">
        <f>VLOOKUP($C5,'Finished goods'!$A$5:$Q$27,7,FALSE)</f>
        <v>22.158333333333331</v>
      </c>
      <c r="J5" s="9">
        <f>VLOOKUP($C5,'Finished goods'!$A$5:$Q$27,8,FALSE)</f>
        <v>19.942499999999999</v>
      </c>
      <c r="R5" s="23">
        <v>2</v>
      </c>
      <c r="S5" s="6">
        <f t="shared" ref="S5:S14" si="1">+G5*$R5</f>
        <v>164</v>
      </c>
      <c r="T5" s="6">
        <f t="shared" ref="T5:T14" si="2">+I5*$R5</f>
        <v>44.316666666666663</v>
      </c>
      <c r="U5" s="4">
        <f>+J5*$R5</f>
        <v>39.884999999999998</v>
      </c>
      <c r="V5" s="16">
        <f>+S5*$M$3/'COST DATA'!$D$26</f>
        <v>1.3877874050026131</v>
      </c>
      <c r="W5" s="16">
        <f>+U5*$N$3</f>
        <v>0.27077926499999999</v>
      </c>
      <c r="X5" s="27">
        <f>+S5*$O$3</f>
        <v>25.830000000000005</v>
      </c>
      <c r="Y5" s="27">
        <f>+S5*$P$3</f>
        <v>9.6563706563706564</v>
      </c>
      <c r="Z5" s="4">
        <f>+(S5/$S$3)*('Finished goods'!$Q$3*'Project Ostelliere'!$S$1)</f>
        <v>0.43552879096190478</v>
      </c>
      <c r="AA5" s="4">
        <f>+'Finished goods'!$O$3*'Project Ostelliere'!T5</f>
        <v>5.1372452905594805</v>
      </c>
      <c r="AB5" s="4">
        <f>+'Finished goods'!P5*R5</f>
        <v>300</v>
      </c>
      <c r="AC5" s="7">
        <f>+V5+W5+X5+Y5+Z5+AA5+AB5</f>
        <v>342.71771140789463</v>
      </c>
    </row>
    <row r="6" spans="1:29" x14ac:dyDescent="0.3">
      <c r="A6" s="243"/>
      <c r="B6" s="21" t="s">
        <v>122</v>
      </c>
      <c r="C6" s="4" t="str">
        <f>+'Finished goods'!A6</f>
        <v xml:space="preserve">Vaso bitorzolo curvo </v>
      </c>
      <c r="D6" s="5">
        <f>VLOOKUP($C6,'Finished goods'!$A$5:$Q$27,2,FALSE)</f>
        <v>4</v>
      </c>
      <c r="E6" s="5">
        <f>VLOOKUP($C6,'Finished goods'!$A$5:$Q$27,3,FALSE)</f>
        <v>2</v>
      </c>
      <c r="F6" s="5">
        <f>VLOOKUP($C6,'Finished goods'!$A$5:$Q$27,4,FALSE)</f>
        <v>5.21</v>
      </c>
      <c r="G6" s="5">
        <f>VLOOKUP($C6,'Finished goods'!$A$5:$Q$27,5,FALSE)</f>
        <v>321</v>
      </c>
      <c r="H6" s="8">
        <f>VLOOKUP($C6,'Finished goods'!$A$5:$Q$27,6,FALSE)</f>
        <v>6.0029599999999995E-4</v>
      </c>
      <c r="I6" s="9">
        <f>VLOOKUP($C6,'Finished goods'!$A$5:$Q$27,7,FALSE)</f>
        <v>1.6674888888888888</v>
      </c>
      <c r="J6" s="9">
        <f>VLOOKUP($C6,'Finished goods'!$A$5:$Q$27,8,FALSE)</f>
        <v>1.50074</v>
      </c>
      <c r="R6" s="23">
        <v>2</v>
      </c>
      <c r="S6" s="6">
        <f t="shared" si="1"/>
        <v>642</v>
      </c>
      <c r="T6" s="6">
        <f t="shared" si="2"/>
        <v>3.3349777777777776</v>
      </c>
      <c r="U6" s="4">
        <f t="shared" ref="U6:U14" si="3">+J6*$R6</f>
        <v>3.0014799999999999</v>
      </c>
      <c r="V6" s="16">
        <f>+S6*$M$3/'COST DATA'!$D$26</f>
        <v>5.4326799634858398</v>
      </c>
      <c r="W6" s="16">
        <f t="shared" ref="W6:W14" si="4">+U6*$N$3</f>
        <v>2.0377047719999999E-2</v>
      </c>
      <c r="X6" s="27">
        <f t="shared" ref="X6:X14" si="5">+S6*$O$3</f>
        <v>101.11500000000002</v>
      </c>
      <c r="Y6" s="27">
        <f t="shared" ref="Y6:Y14" si="6">+S6*$P$3</f>
        <v>37.801158301158303</v>
      </c>
      <c r="Z6" s="4">
        <f>+(S6/$S$3)*('Finished goods'!$Q$3*'Project Ostelliere'!$S$1)</f>
        <v>1.7049358768142857</v>
      </c>
      <c r="AA6" s="4">
        <f>+'Finished goods'!$O$3*'Project Ostelliere'!T6</f>
        <v>0.38659493530671857</v>
      </c>
      <c r="AB6" s="4"/>
      <c r="AC6" s="7">
        <f t="shared" ref="AC6:AC14" si="7">+V6+W6+X6+Y6+Z6+AA6+AB6</f>
        <v>146.46074612448518</v>
      </c>
    </row>
    <row r="7" spans="1:29" x14ac:dyDescent="0.3">
      <c r="A7" s="243"/>
      <c r="B7" s="21" t="s">
        <v>122</v>
      </c>
      <c r="C7" s="4" t="str">
        <f>+'Finished goods'!A7</f>
        <v>Vaso bitorzolo twist</v>
      </c>
      <c r="D7" s="5">
        <f>VLOOKUP($C7,'Finished goods'!$A$5:$Q$27,2,FALSE)</f>
        <v>4</v>
      </c>
      <c r="E7" s="5">
        <f>VLOOKUP($C7,'Finished goods'!$A$5:$Q$27,3,FALSE)</f>
        <v>2</v>
      </c>
      <c r="F7" s="5">
        <f>VLOOKUP($C7,'Finished goods'!$A$5:$Q$27,4,FALSE)</f>
        <v>5.15</v>
      </c>
      <c r="G7" s="5">
        <f>VLOOKUP($C7,'Finished goods'!$A$5:$Q$27,5,FALSE)</f>
        <v>315</v>
      </c>
      <c r="H7" s="8">
        <f>VLOOKUP($C7,'Finished goods'!$A$5:$Q$27,6,FALSE)</f>
        <v>8.005105E-4</v>
      </c>
      <c r="I7" s="9">
        <f>VLOOKUP($C7,'Finished goods'!$A$5:$Q$27,7,FALSE)</f>
        <v>2.2236402777777777</v>
      </c>
      <c r="J7" s="9">
        <f>VLOOKUP($C7,'Finished goods'!$A$5:$Q$27,8,FALSE)</f>
        <v>2.0012762500000001</v>
      </c>
      <c r="R7" s="23">
        <v>2</v>
      </c>
      <c r="S7" s="6">
        <f t="shared" si="1"/>
        <v>630</v>
      </c>
      <c r="T7" s="6">
        <f t="shared" si="2"/>
        <v>4.4472805555555555</v>
      </c>
      <c r="U7" s="4">
        <f t="shared" si="3"/>
        <v>4.0025525000000002</v>
      </c>
      <c r="V7" s="16">
        <f>+S7*$M$3/'COST DATA'!$D$26</f>
        <v>5.3311345436076003</v>
      </c>
      <c r="W7" s="16">
        <f t="shared" si="4"/>
        <v>2.71733289225E-2</v>
      </c>
      <c r="X7" s="27">
        <f t="shared" si="5"/>
        <v>99.225000000000023</v>
      </c>
      <c r="Y7" s="27">
        <f t="shared" si="6"/>
        <v>37.094594594594597</v>
      </c>
      <c r="Z7" s="4">
        <f>+(S7/$S$3)*('Finished goods'!$Q$3*'Project Ostelliere'!$S$1)</f>
        <v>1.6730679165000002</v>
      </c>
      <c r="AA7" s="4">
        <f>+'Finished goods'!$O$3*'Project Ostelliere'!T7</f>
        <v>0.51553451124086935</v>
      </c>
      <c r="AB7" s="4"/>
      <c r="AC7" s="7">
        <f t="shared" si="7"/>
        <v>143.86650489486561</v>
      </c>
    </row>
    <row r="8" spans="1:29" x14ac:dyDescent="0.3">
      <c r="A8" s="243"/>
      <c r="B8" s="21" t="s">
        <v>122</v>
      </c>
      <c r="C8" s="4" t="str">
        <f>+'Finished goods'!A8</f>
        <v>Vaso bitorzolo dritto</v>
      </c>
      <c r="D8" s="5">
        <f>VLOOKUP($C8,'Finished goods'!$A$5:$Q$27,2,FALSE)</f>
        <v>4</v>
      </c>
      <c r="E8" s="5">
        <f>VLOOKUP($C8,'Finished goods'!$A$5:$Q$27,3,FALSE)</f>
        <v>2</v>
      </c>
      <c r="F8" s="5">
        <f>VLOOKUP($C8,'Finished goods'!$A$5:$Q$27,4,FALSE)</f>
        <v>4.4800000000000004</v>
      </c>
      <c r="G8" s="5">
        <f>VLOOKUP($C8,'Finished goods'!$A$5:$Q$27,5,FALSE)</f>
        <v>288</v>
      </c>
      <c r="H8" s="8">
        <f>VLOOKUP($C8,'Finished goods'!$A$5:$Q$27,6,FALSE)</f>
        <v>8.2321687099999998E-4</v>
      </c>
      <c r="I8" s="9">
        <f>VLOOKUP($C8,'Finished goods'!$A$5:$Q$27,7,FALSE)</f>
        <v>2.2867135305555553</v>
      </c>
      <c r="J8" s="9">
        <f>VLOOKUP($C8,'Finished goods'!$A$5:$Q$27,8,FALSE)</f>
        <v>2.0580421775</v>
      </c>
      <c r="R8" s="23">
        <v>2</v>
      </c>
      <c r="S8" s="6">
        <f t="shared" si="1"/>
        <v>576</v>
      </c>
      <c r="T8" s="6">
        <f t="shared" si="2"/>
        <v>4.5734270611111105</v>
      </c>
      <c r="U8" s="4">
        <f t="shared" si="3"/>
        <v>4.1160843549999999</v>
      </c>
      <c r="V8" s="16">
        <f>+S8*$M$3/'COST DATA'!$D$26</f>
        <v>4.8741801541555203</v>
      </c>
      <c r="W8" s="16">
        <f t="shared" si="4"/>
        <v>2.7944096686094998E-2</v>
      </c>
      <c r="X8" s="27">
        <f t="shared" si="5"/>
        <v>90.720000000000013</v>
      </c>
      <c r="Y8" s="27">
        <f t="shared" si="6"/>
        <v>33.915057915057915</v>
      </c>
      <c r="Z8" s="4">
        <f>+(S8/$S$3)*('Finished goods'!$Q$3*'Project Ostelliere'!$S$1)</f>
        <v>1.5296620950857143</v>
      </c>
      <c r="AA8" s="4">
        <f>+'Finished goods'!$O$3*'Project Ostelliere'!T8</f>
        <v>0.53015757724130141</v>
      </c>
      <c r="AB8" s="4"/>
      <c r="AC8" s="7">
        <f t="shared" si="7"/>
        <v>131.59700183822656</v>
      </c>
    </row>
    <row r="9" spans="1:29" x14ac:dyDescent="0.3">
      <c r="A9" s="243"/>
      <c r="B9" s="21" t="s">
        <v>122</v>
      </c>
      <c r="C9" s="4" t="str">
        <f>+'Finished goods'!A9</f>
        <v>Porta riviste</v>
      </c>
      <c r="D9" s="5">
        <f>VLOOKUP($C9,'Finished goods'!$A$5:$Q$27,2,FALSE)</f>
        <v>10</v>
      </c>
      <c r="E9" s="5">
        <f>VLOOKUP($C9,'Finished goods'!$A$5:$Q$27,3,FALSE)</f>
        <v>10</v>
      </c>
      <c r="F9" s="5">
        <f>VLOOKUP($C9,'Finished goods'!$A$5:$Q$27,4,FALSE)</f>
        <v>0.42</v>
      </c>
      <c r="G9" s="5">
        <f>VLOOKUP($C9,'Finished goods'!$A$5:$Q$27,5,FALSE)</f>
        <v>42</v>
      </c>
      <c r="H9" s="8">
        <f>VLOOKUP($C9,'Finished goods'!$A$5:$Q$27,6,FALSE)</f>
        <v>3.5606798E-3</v>
      </c>
      <c r="I9" s="9">
        <f>VLOOKUP($C9,'Finished goods'!$A$5:$Q$27,7,FALSE)</f>
        <v>9.890777222222221</v>
      </c>
      <c r="J9" s="9">
        <f>VLOOKUP($C9,'Finished goods'!$A$5:$Q$27,8,FALSE)</f>
        <v>8.9016994999999994</v>
      </c>
      <c r="R9" s="23">
        <v>2</v>
      </c>
      <c r="S9" s="6">
        <f t="shared" si="1"/>
        <v>84</v>
      </c>
      <c r="T9" s="6">
        <f t="shared" si="2"/>
        <v>19.781554444444442</v>
      </c>
      <c r="U9" s="4">
        <f t="shared" si="3"/>
        <v>17.803398999999999</v>
      </c>
      <c r="V9" s="16">
        <f>+S9*$M$3/'COST DATA'!$D$26</f>
        <v>0.71081793914767988</v>
      </c>
      <c r="W9" s="16">
        <f t="shared" si="4"/>
        <v>0.12086727581099999</v>
      </c>
      <c r="X9" s="27">
        <f t="shared" si="5"/>
        <v>13.230000000000002</v>
      </c>
      <c r="Y9" s="27">
        <f t="shared" si="6"/>
        <v>4.9459459459459456</v>
      </c>
      <c r="Z9" s="4">
        <f>+(S9/$S$3)*('Finished goods'!$Q$3*'Project Ostelliere'!$S$1)</f>
        <v>0.22307572219999999</v>
      </c>
      <c r="AA9" s="4">
        <f>+'Finished goods'!$O$3*'Project Ostelliere'!T9</f>
        <v>2.2931033638887142</v>
      </c>
      <c r="AB9" s="4"/>
      <c r="AC9" s="7">
        <f t="shared" si="7"/>
        <v>21.523810246993346</v>
      </c>
    </row>
    <row r="10" spans="1:29" x14ac:dyDescent="0.3">
      <c r="A10" s="243"/>
      <c r="B10" s="21" t="s">
        <v>122</v>
      </c>
      <c r="C10" s="4" t="str">
        <f>+'Finished goods'!A10</f>
        <v>Lampada 90 grossa</v>
      </c>
      <c r="D10" s="5">
        <f>VLOOKUP($C10,'Finished goods'!$A$5:$Q$27,2,FALSE)</f>
        <v>8</v>
      </c>
      <c r="E10" s="5">
        <f>VLOOKUP($C10,'Finished goods'!$A$5:$Q$27,3,FALSE)</f>
        <v>10</v>
      </c>
      <c r="F10" s="5">
        <f>VLOOKUP($C10,'Finished goods'!$A$5:$Q$27,4,FALSE)</f>
        <v>1.39</v>
      </c>
      <c r="G10" s="5">
        <f>VLOOKUP($C10,'Finished goods'!$A$5:$Q$27,5,FALSE)</f>
        <v>99</v>
      </c>
      <c r="H10" s="8">
        <f>VLOOKUP($C10,'Finished goods'!$A$5:$Q$27,6,FALSE)</f>
        <v>1.7366300000000001E-3</v>
      </c>
      <c r="I10" s="9">
        <f>VLOOKUP($C10,'Finished goods'!$A$5:$Q$27,7,FALSE)</f>
        <v>4.8239722222222232</v>
      </c>
      <c r="J10" s="9">
        <f>VLOOKUP($C10,'Finished goods'!$A$5:$Q$27,8,FALSE)</f>
        <v>4.3415750000000006</v>
      </c>
      <c r="R10" s="23">
        <v>1</v>
      </c>
      <c r="S10" s="6">
        <f t="shared" si="1"/>
        <v>99</v>
      </c>
      <c r="T10" s="6">
        <f t="shared" si="2"/>
        <v>4.8239722222222232</v>
      </c>
      <c r="U10" s="4">
        <f t="shared" si="3"/>
        <v>4.3415750000000006</v>
      </c>
      <c r="V10" s="16">
        <f>+S10*$M$3/'COST DATA'!$D$26</f>
        <v>0.83774971399547993</v>
      </c>
      <c r="W10" s="16">
        <f t="shared" si="4"/>
        <v>2.9474952675000003E-2</v>
      </c>
      <c r="X10" s="27">
        <f t="shared" si="5"/>
        <v>15.592500000000003</v>
      </c>
      <c r="Y10" s="27">
        <f t="shared" si="6"/>
        <v>5.8291505791505793</v>
      </c>
      <c r="Z10" s="4">
        <f>+(S10/$S$3)*('Finished goods'!$Q$3*'Project Ostelliere'!$S$1)</f>
        <v>0.26291067259285716</v>
      </c>
      <c r="AA10" s="4">
        <f>+'Finished goods'!$O$3*'Project Ostelliere'!T10</f>
        <v>0.55920109621062508</v>
      </c>
      <c r="AB10" s="4">
        <f>+'Finished goods'!P10*R10</f>
        <v>24</v>
      </c>
      <c r="AC10" s="7">
        <f t="shared" si="7"/>
        <v>47.110987014624541</v>
      </c>
    </row>
    <row r="11" spans="1:29" x14ac:dyDescent="0.3">
      <c r="A11" s="243"/>
      <c r="B11" s="21" t="s">
        <v>122</v>
      </c>
      <c r="C11" s="4" t="str">
        <f>+'Finished goods'!A11</f>
        <v>Lampada 90 piccola</v>
      </c>
      <c r="D11" s="5">
        <f>VLOOKUP($C11,'Finished goods'!$A$5:$Q$27,2,FALSE)</f>
        <v>5</v>
      </c>
      <c r="E11" s="5">
        <f>VLOOKUP($C11,'Finished goods'!$A$5:$Q$27,3,FALSE)</f>
        <v>10</v>
      </c>
      <c r="F11" s="5">
        <f>VLOOKUP($C11,'Finished goods'!$A$5:$Q$27,4,FALSE)</f>
        <v>1.1499999999999999</v>
      </c>
      <c r="G11" s="5">
        <f>VLOOKUP($C11,'Finished goods'!$A$5:$Q$27,5,FALSE)</f>
        <v>75</v>
      </c>
      <c r="H11" s="8">
        <f>VLOOKUP($C11,'Finished goods'!$A$5:$Q$27,6,FALSE)</f>
        <v>8.1557296000000004E-4</v>
      </c>
      <c r="I11" s="9">
        <f>VLOOKUP($C11,'Finished goods'!$A$5:$Q$27,7,FALSE)</f>
        <v>2.2654804444444445</v>
      </c>
      <c r="J11" s="9">
        <f>VLOOKUP($C11,'Finished goods'!$A$5:$Q$27,8,FALSE)</f>
        <v>2.0389324000000002</v>
      </c>
      <c r="R11" s="23">
        <v>6</v>
      </c>
      <c r="S11" s="6">
        <f t="shared" si="1"/>
        <v>450</v>
      </c>
      <c r="T11" s="6">
        <f t="shared" si="2"/>
        <v>13.592882666666668</v>
      </c>
      <c r="U11" s="4">
        <f t="shared" si="3"/>
        <v>12.233594400000001</v>
      </c>
      <c r="V11" s="16">
        <f>+S11*$M$3/'COST DATA'!$D$26</f>
        <v>3.8079532454339997</v>
      </c>
      <c r="W11" s="16">
        <f t="shared" si="4"/>
        <v>8.3053872381600002E-2</v>
      </c>
      <c r="X11" s="27">
        <f t="shared" si="5"/>
        <v>70.875000000000014</v>
      </c>
      <c r="Y11" s="27">
        <f t="shared" si="6"/>
        <v>26.496138996138995</v>
      </c>
      <c r="Z11" s="4">
        <f>+(S11/$S$3)*('Finished goods'!$Q$3*'Project Ostelliere'!$S$1)</f>
        <v>1.1950485117857144</v>
      </c>
      <c r="AA11" s="4">
        <f>+'Finished goods'!$O$3*'Project Ostelliere'!T11</f>
        <v>1.5757045309769298</v>
      </c>
      <c r="AB11" s="4">
        <f>+'Finished goods'!P11*R11</f>
        <v>144</v>
      </c>
      <c r="AC11" s="7">
        <f t="shared" si="7"/>
        <v>248.03289915671726</v>
      </c>
    </row>
    <row r="12" spans="1:29" x14ac:dyDescent="0.3">
      <c r="A12" s="243"/>
      <c r="B12" s="21" t="s">
        <v>122</v>
      </c>
      <c r="C12" s="4" t="str">
        <f>+'Finished goods'!A12</f>
        <v>Vaso Logo</v>
      </c>
      <c r="D12" s="5">
        <f>VLOOKUP($C12,'Finished goods'!$A$5:$Q$27,2,FALSE)</f>
        <v>5</v>
      </c>
      <c r="E12" s="5">
        <f>VLOOKUP($C12,'Finished goods'!$A$5:$Q$27,3,FALSE)</f>
        <v>10</v>
      </c>
      <c r="F12" s="5">
        <f>VLOOKUP($C12,'Finished goods'!$A$5:$Q$27,4,FALSE)</f>
        <v>0.39</v>
      </c>
      <c r="G12" s="5">
        <f>VLOOKUP($C12,'Finished goods'!$A$5:$Q$27,5,FALSE)</f>
        <v>39</v>
      </c>
      <c r="H12" s="8">
        <f>VLOOKUP($C12,'Finished goods'!$A$5:$Q$27,6,FALSE)</f>
        <v>1.1639584900000001E-3</v>
      </c>
      <c r="I12" s="9">
        <f>VLOOKUP($C12,'Finished goods'!$A$5:$Q$27,7,FALSE)</f>
        <v>3.2332180277777778</v>
      </c>
      <c r="J12" s="9">
        <f>VLOOKUP($C12,'Finished goods'!$A$5:$Q$27,8,FALSE)</f>
        <v>2.9098962250000002</v>
      </c>
      <c r="R12" s="23">
        <v>3</v>
      </c>
      <c r="S12" s="6">
        <f t="shared" si="1"/>
        <v>117</v>
      </c>
      <c r="T12" s="6">
        <f t="shared" si="2"/>
        <v>9.6996540833333338</v>
      </c>
      <c r="U12" s="4">
        <f t="shared" si="3"/>
        <v>8.7296886750000002</v>
      </c>
      <c r="V12" s="16">
        <f>+S12*$M$3/'COST DATA'!$D$26</f>
        <v>0.99006784381283996</v>
      </c>
      <c r="W12" s="16">
        <f t="shared" si="4"/>
        <v>5.9265856414574998E-2</v>
      </c>
      <c r="X12" s="27">
        <f t="shared" si="5"/>
        <v>18.427500000000002</v>
      </c>
      <c r="Y12" s="27">
        <f t="shared" si="6"/>
        <v>6.8889961389961387</v>
      </c>
      <c r="Z12" s="4">
        <f>+(S12/$S$3)*('Finished goods'!$Q$3*'Project Ostelliere'!$S$1)</f>
        <v>0.31071261306428571</v>
      </c>
      <c r="AA12" s="4">
        <f>+'Finished goods'!$O$3*'Project Ostelliere'!T12</f>
        <v>1.1243964406091058</v>
      </c>
      <c r="AB12" s="4"/>
      <c r="AC12" s="7">
        <f t="shared" si="7"/>
        <v>27.800938892896948</v>
      </c>
    </row>
    <row r="13" spans="1:29" x14ac:dyDescent="0.3">
      <c r="A13" s="243"/>
      <c r="B13" s="21" t="s">
        <v>122</v>
      </c>
      <c r="C13" s="4" t="str">
        <f>+'Finished goods'!A13</f>
        <v>Copri candela</v>
      </c>
      <c r="D13" s="5">
        <f>VLOOKUP($C13,'Finished goods'!$A$5:$Q$27,2,FALSE)</f>
        <v>4</v>
      </c>
      <c r="E13" s="5">
        <f>VLOOKUP($C13,'Finished goods'!$A$5:$Q$27,3,FALSE)</f>
        <v>5</v>
      </c>
      <c r="F13" s="5">
        <f>VLOOKUP($C13,'Finished goods'!$A$5:$Q$27,4,FALSE)</f>
        <v>0.34</v>
      </c>
      <c r="G13" s="5">
        <f>VLOOKUP($C13,'Finished goods'!$A$5:$Q$27,5,FALSE)</f>
        <v>34</v>
      </c>
      <c r="H13" s="8">
        <f>VLOOKUP($C13,'Finished goods'!$A$5:$Q$27,6,FALSE)</f>
        <v>2.3780405299999999E-4</v>
      </c>
      <c r="I13" s="9">
        <f>VLOOKUP($C13,'Finished goods'!$A$5:$Q$27,7,FALSE)</f>
        <v>0.66056681388888883</v>
      </c>
      <c r="J13" s="9">
        <f>VLOOKUP($C13,'Finished goods'!$A$5:$Q$27,8,FALSE)</f>
        <v>0.59451013249999995</v>
      </c>
      <c r="R13" s="23">
        <v>15</v>
      </c>
      <c r="S13" s="6">
        <f t="shared" si="1"/>
        <v>510</v>
      </c>
      <c r="T13" s="6">
        <f t="shared" si="2"/>
        <v>9.9085022083333332</v>
      </c>
      <c r="U13" s="4">
        <f t="shared" si="3"/>
        <v>8.9176519874999993</v>
      </c>
      <c r="V13" s="16">
        <f>+S13*$M$3/'COST DATA'!$D$26</f>
        <v>4.3156803448251999</v>
      </c>
      <c r="W13" s="16">
        <f t="shared" si="4"/>
        <v>6.0541939343137494E-2</v>
      </c>
      <c r="X13" s="27">
        <f t="shared" si="5"/>
        <v>80.325000000000017</v>
      </c>
      <c r="Y13" s="27">
        <f t="shared" si="6"/>
        <v>30.02895752895753</v>
      </c>
      <c r="Z13" s="4">
        <f>+(S13/$S$3)*('Finished goods'!$Q$3*'Project Ostelliere'!$S$1)</f>
        <v>1.3543883133571428</v>
      </c>
      <c r="AA13" s="4">
        <f>+'Finished goods'!$O$3*'Project Ostelliere'!T13</f>
        <v>1.1486063852484083</v>
      </c>
      <c r="AB13" s="4"/>
      <c r="AC13" s="7">
        <f t="shared" si="7"/>
        <v>117.23317451173145</v>
      </c>
    </row>
    <row r="14" spans="1:29" x14ac:dyDescent="0.3">
      <c r="A14" s="244"/>
      <c r="B14" s="21" t="s">
        <v>122</v>
      </c>
      <c r="C14" s="4" t="str">
        <f>+'Finished goods'!A14</f>
        <v xml:space="preserve">Vaso Grosso </v>
      </c>
      <c r="D14" s="5">
        <f>VLOOKUP($C14,'Finished goods'!$A$5:$Q$27,2,FALSE)</f>
        <v>4</v>
      </c>
      <c r="E14" s="5">
        <f>VLOOKUP($C14,'Finished goods'!$A$5:$Q$27,3,FALSE)</f>
        <v>5</v>
      </c>
      <c r="F14" s="5">
        <f>VLOOKUP($C14,'Finished goods'!$A$5:$Q$27,4,FALSE)</f>
        <v>1.31</v>
      </c>
      <c r="G14" s="5">
        <f>VLOOKUP($C14,'Finished goods'!$A$5:$Q$27,5,FALSE)</f>
        <v>91</v>
      </c>
      <c r="H14" s="8">
        <f>VLOOKUP($C14,'Finished goods'!$A$5:$Q$27,6,FALSE)</f>
        <v>9.52764444E-4</v>
      </c>
      <c r="I14" s="9">
        <f>VLOOKUP($C14,'Finished goods'!$A$5:$Q$27,7,FALSE)</f>
        <v>2.6465679</v>
      </c>
      <c r="J14" s="9">
        <f>VLOOKUP($C14,'Finished goods'!$A$5:$Q$27,8,FALSE)</f>
        <v>2.3819111099999999</v>
      </c>
      <c r="R14" s="23">
        <v>2</v>
      </c>
      <c r="S14" s="6">
        <f t="shared" si="1"/>
        <v>182</v>
      </c>
      <c r="T14" s="6">
        <f t="shared" si="2"/>
        <v>5.2931357999999999</v>
      </c>
      <c r="U14" s="4">
        <f t="shared" si="3"/>
        <v>4.7638222199999998</v>
      </c>
      <c r="V14" s="16">
        <f>+S14*$M$3/'COST DATA'!$D$26</f>
        <v>1.5401055348199733</v>
      </c>
      <c r="W14" s="16">
        <f t="shared" si="4"/>
        <v>3.2341589051580001E-2</v>
      </c>
      <c r="X14" s="27">
        <f t="shared" si="5"/>
        <v>28.665000000000006</v>
      </c>
      <c r="Y14" s="27">
        <f t="shared" si="6"/>
        <v>10.716216216216216</v>
      </c>
      <c r="Z14" s="4">
        <f>+(S14/$S$3)*('Finished goods'!$Q$3*'Project Ostelliere'!$S$1)</f>
        <v>0.48333073143333333</v>
      </c>
      <c r="AA14" s="4">
        <f>+'Finished goods'!$O$3*'Project Ostelliere'!T14</f>
        <v>0.61358714465983732</v>
      </c>
      <c r="AB14" s="4"/>
      <c r="AC14" s="7">
        <f t="shared" si="7"/>
        <v>42.050581216180944</v>
      </c>
    </row>
    <row r="17" spans="1:29" ht="18" x14ac:dyDescent="0.35">
      <c r="D17" s="237" t="s">
        <v>40</v>
      </c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4" t="s">
        <v>32</v>
      </c>
      <c r="S17" s="47">
        <f>+S19/60/7</f>
        <v>8.2238095238095248</v>
      </c>
      <c r="T17" t="s">
        <v>83</v>
      </c>
    </row>
    <row r="18" spans="1:29" x14ac:dyDescent="0.3">
      <c r="D18" s="236" t="s">
        <v>33</v>
      </c>
      <c r="E18" s="236"/>
      <c r="F18" s="236"/>
      <c r="G18" s="236"/>
      <c r="H18" s="236"/>
      <c r="I18" s="236"/>
      <c r="J18" s="236"/>
      <c r="M18" s="236" t="s">
        <v>36</v>
      </c>
      <c r="N18" s="236"/>
      <c r="O18" s="236"/>
      <c r="P18" s="236"/>
      <c r="Q18" s="236"/>
      <c r="V18" s="241" t="s">
        <v>41</v>
      </c>
      <c r="W18" s="241"/>
      <c r="X18" s="241"/>
      <c r="Y18" s="241"/>
      <c r="Z18" s="241"/>
      <c r="AA18" s="241"/>
      <c r="AB18" s="241"/>
      <c r="AC18" s="241"/>
    </row>
    <row r="19" spans="1:29" ht="18" x14ac:dyDescent="0.35">
      <c r="F19" s="225" t="s">
        <v>44</v>
      </c>
      <c r="G19" s="225"/>
      <c r="I19" s="20">
        <f>SUBTOTAL(9,I21:I30)</f>
        <v>51.856758661111115</v>
      </c>
      <c r="J19" s="20">
        <f>SUBTOTAL(9,J21:J30)</f>
        <v>46.67108279499999</v>
      </c>
      <c r="K19" s="1">
        <f>+'Finished goods'!$I$3</f>
        <v>2500</v>
      </c>
      <c r="L19" s="1">
        <f>+'Finished goods'!$J$3</f>
        <v>0.9</v>
      </c>
      <c r="M19" s="15">
        <f>+'Finished goods'!$K$3</f>
        <v>0.50772709939119998</v>
      </c>
      <c r="N19" s="15">
        <f>+'Finished goods'!$L$3</f>
        <v>6.7889999999999999E-3</v>
      </c>
      <c r="O19" s="13">
        <f>+'Finished goods'!$M$3</f>
        <v>0.15750000000000003</v>
      </c>
      <c r="P19" s="46">
        <f>+'Finished goods'!$N$3</f>
        <v>5.8880308880308881E-2</v>
      </c>
      <c r="Q19" s="1"/>
      <c r="S19" s="17">
        <f t="shared" ref="S19:AC19" si="8">SUBTOTAL(9,S21:S30)</f>
        <v>3454</v>
      </c>
      <c r="T19" s="17">
        <f t="shared" si="8"/>
        <v>119.7720534861111</v>
      </c>
      <c r="U19" s="17">
        <f t="shared" si="8"/>
        <v>107.7948481375</v>
      </c>
      <c r="V19" s="18">
        <f t="shared" si="8"/>
        <v>29.228156688286745</v>
      </c>
      <c r="W19" s="18">
        <f t="shared" si="8"/>
        <v>0.73181922400548749</v>
      </c>
      <c r="X19" s="18">
        <f t="shared" si="8"/>
        <v>544.00500000000011</v>
      </c>
      <c r="Y19" s="18">
        <f t="shared" si="8"/>
        <v>203.37258687258691</v>
      </c>
      <c r="Z19" s="18">
        <f t="shared" si="8"/>
        <v>9.1726612437952397</v>
      </c>
      <c r="AA19" s="18">
        <f t="shared" si="8"/>
        <v>13.884131275941989</v>
      </c>
      <c r="AB19" s="18">
        <f t="shared" si="8"/>
        <v>468</v>
      </c>
      <c r="AC19" s="19">
        <f t="shared" si="8"/>
        <v>1268.3943553046165</v>
      </c>
    </row>
    <row r="20" spans="1:29" x14ac:dyDescent="0.3">
      <c r="A20" s="1" t="s">
        <v>145</v>
      </c>
      <c r="B20" s="1" t="s">
        <v>30</v>
      </c>
      <c r="C20" s="1" t="s">
        <v>0</v>
      </c>
      <c r="D20" s="1" t="s">
        <v>4</v>
      </c>
      <c r="E20" s="1" t="s">
        <v>5</v>
      </c>
      <c r="F20" s="1" t="s">
        <v>45</v>
      </c>
      <c r="G20" s="1" t="s">
        <v>57</v>
      </c>
      <c r="H20" s="1" t="s">
        <v>6</v>
      </c>
      <c r="I20" s="1" t="s">
        <v>2</v>
      </c>
      <c r="J20" s="1" t="s">
        <v>7</v>
      </c>
      <c r="K20" s="1" t="s">
        <v>31</v>
      </c>
      <c r="L20" s="1" t="s">
        <v>8</v>
      </c>
      <c r="M20" s="1" t="s">
        <v>34</v>
      </c>
      <c r="N20" s="1" t="s">
        <v>35</v>
      </c>
      <c r="O20" s="1" t="s">
        <v>37</v>
      </c>
      <c r="P20" s="1" t="s">
        <v>79</v>
      </c>
      <c r="Q20" s="1" t="s">
        <v>38</v>
      </c>
      <c r="R20" s="1" t="s">
        <v>39</v>
      </c>
      <c r="S20" s="2" t="s">
        <v>43</v>
      </c>
      <c r="T20" s="2" t="s">
        <v>2</v>
      </c>
      <c r="U20" s="2" t="s">
        <v>7</v>
      </c>
      <c r="V20" s="2">
        <f>+'Finished goods'!K20</f>
        <v>0</v>
      </c>
      <c r="W20" s="2">
        <f>+'Finished goods'!L20</f>
        <v>0</v>
      </c>
      <c r="X20" s="2">
        <f>+'Finished goods'!M20</f>
        <v>0</v>
      </c>
      <c r="Y20" s="2">
        <f>+'Finished goods'!N20</f>
        <v>0</v>
      </c>
      <c r="Z20" s="2">
        <f>+'Finished goods'!Q20</f>
        <v>0</v>
      </c>
      <c r="AA20" s="3" t="s">
        <v>111</v>
      </c>
      <c r="AB20" s="3" t="s">
        <v>115</v>
      </c>
      <c r="AC20" s="3" t="s">
        <v>42</v>
      </c>
    </row>
    <row r="21" spans="1:29" ht="14.4" customHeight="1" x14ac:dyDescent="0.3">
      <c r="A21" s="242" t="s">
        <v>412</v>
      </c>
      <c r="B21" s="21" t="s">
        <v>122</v>
      </c>
      <c r="C21" s="4" t="str">
        <f>+C5</f>
        <v>Tavolo twist Logo</v>
      </c>
      <c r="D21" s="5">
        <f>VLOOKUP($C21,'Finished goods'!$A$5:$Q$27,2,FALSE)</f>
        <v>8</v>
      </c>
      <c r="E21" s="5">
        <f>VLOOKUP($C21,'Finished goods'!$A$5:$Q$27,3,FALSE)</f>
        <v>10</v>
      </c>
      <c r="F21" s="5">
        <f>VLOOKUP($C21,'Finished goods'!$A$5:$Q$27,4,FALSE)</f>
        <v>1.22</v>
      </c>
      <c r="G21" s="5">
        <f>VLOOKUP($C21,'Finished goods'!$A$5:$Q$27,5,FALSE)</f>
        <v>82</v>
      </c>
      <c r="H21" s="8">
        <f>VLOOKUP($C21,'Finished goods'!$A$5:$Q$27,6,FALSE)</f>
        <v>7.9769999999999997E-3</v>
      </c>
      <c r="I21" s="9">
        <f>VLOOKUP($C21,'Finished goods'!$A$5:$Q$27,7,FALSE)</f>
        <v>22.158333333333331</v>
      </c>
      <c r="J21" s="9">
        <f>VLOOKUP($C21,'Finished goods'!$A$5:$Q$27,8,FALSE)</f>
        <v>19.942499999999999</v>
      </c>
      <c r="R21" s="23">
        <v>2</v>
      </c>
      <c r="S21" s="6">
        <f t="shared" ref="S21:S30" si="9">+G21*$R21</f>
        <v>164</v>
      </c>
      <c r="T21" s="6">
        <f t="shared" ref="T21:T30" si="10">+I21*$R21</f>
        <v>44.316666666666663</v>
      </c>
      <c r="U21" s="4">
        <f>+J21*$R21</f>
        <v>39.884999999999998</v>
      </c>
      <c r="V21" s="16">
        <f>+S21*$M$3/'COST DATA'!$D$26</f>
        <v>1.3877874050026131</v>
      </c>
      <c r="W21" s="16">
        <f>+U21*$N$3</f>
        <v>0.27077926499999999</v>
      </c>
      <c r="X21" s="27">
        <f>+S21*$O$3</f>
        <v>25.830000000000005</v>
      </c>
      <c r="Y21" s="27">
        <f>+S21*$P$3</f>
        <v>9.6563706563706564</v>
      </c>
      <c r="Z21" s="4">
        <f>+(S21/$S$3)*('Finished goods'!$Q$3*'Project Ostelliere'!$S$1)</f>
        <v>0.43552879096190478</v>
      </c>
      <c r="AA21" s="4">
        <f>+'Finished goods'!$O$3*'Project Ostelliere'!T21</f>
        <v>5.1372452905594805</v>
      </c>
      <c r="AB21" s="4">
        <f>+'Finished goods'!P$5*R21</f>
        <v>300</v>
      </c>
      <c r="AC21" s="7">
        <f>+V21+W21+X21+Y21+Z21+AA21+AB21</f>
        <v>342.71771140789463</v>
      </c>
    </row>
    <row r="22" spans="1:29" x14ac:dyDescent="0.3">
      <c r="A22" s="243"/>
      <c r="B22" s="21" t="s">
        <v>122</v>
      </c>
      <c r="C22" s="4" t="str">
        <f t="shared" ref="C22:C30" si="11">+C6</f>
        <v xml:space="preserve">Vaso bitorzolo curvo </v>
      </c>
      <c r="D22" s="5">
        <f>VLOOKUP($C22,'Finished goods'!$A$5:$Q$27,2,FALSE)</f>
        <v>4</v>
      </c>
      <c r="E22" s="5">
        <f>VLOOKUP($C22,'Finished goods'!$A$5:$Q$27,3,FALSE)</f>
        <v>2</v>
      </c>
      <c r="F22" s="5">
        <f>VLOOKUP($C22,'Finished goods'!$A$5:$Q$27,4,FALSE)</f>
        <v>5.21</v>
      </c>
      <c r="G22" s="5">
        <f>VLOOKUP($C22,'Finished goods'!$A$5:$Q$27,5,FALSE)</f>
        <v>321</v>
      </c>
      <c r="H22" s="8">
        <f>VLOOKUP($C22,'Finished goods'!$A$5:$Q$27,6,FALSE)</f>
        <v>6.0029599999999995E-4</v>
      </c>
      <c r="I22" s="9">
        <f>VLOOKUP($C22,'Finished goods'!$A$5:$Q$27,7,FALSE)</f>
        <v>1.6674888888888888</v>
      </c>
      <c r="J22" s="9">
        <f>VLOOKUP($C22,'Finished goods'!$A$5:$Q$27,8,FALSE)</f>
        <v>1.50074</v>
      </c>
      <c r="R22" s="23">
        <v>2</v>
      </c>
      <c r="S22" s="6">
        <f t="shared" si="9"/>
        <v>642</v>
      </c>
      <c r="T22" s="6">
        <f t="shared" si="10"/>
        <v>3.3349777777777776</v>
      </c>
      <c r="U22" s="4">
        <f t="shared" ref="U22:U30" si="12">+J22*$R22</f>
        <v>3.0014799999999999</v>
      </c>
      <c r="V22" s="16">
        <f>+S22*$M$3/'COST DATA'!$D$26</f>
        <v>5.4326799634858398</v>
      </c>
      <c r="W22" s="16">
        <f t="shared" ref="W22:W30" si="13">+U22*$N$3</f>
        <v>2.0377047719999999E-2</v>
      </c>
      <c r="X22" s="27">
        <f t="shared" ref="X22:X30" si="14">+S22*$O$3</f>
        <v>101.11500000000002</v>
      </c>
      <c r="Y22" s="27">
        <f t="shared" ref="Y22:Y30" si="15">+S22*$P$3</f>
        <v>37.801158301158303</v>
      </c>
      <c r="Z22" s="4">
        <f>+(S22/$S$3)*('Finished goods'!$Q$3*'Project Ostelliere'!$S$1)</f>
        <v>1.7049358768142857</v>
      </c>
      <c r="AA22" s="4">
        <f>+'Finished goods'!$O$3*'Project Ostelliere'!T22</f>
        <v>0.38659493530671857</v>
      </c>
      <c r="AB22" s="4"/>
      <c r="AC22" s="7">
        <f t="shared" ref="AC22:AC30" si="16">+V22+W22+X22+Y22+Z22+AA22+AB22</f>
        <v>146.46074612448518</v>
      </c>
    </row>
    <row r="23" spans="1:29" x14ac:dyDescent="0.3">
      <c r="A23" s="243"/>
      <c r="B23" s="21" t="s">
        <v>122</v>
      </c>
      <c r="C23" s="4" t="str">
        <f t="shared" si="11"/>
        <v>Vaso bitorzolo twist</v>
      </c>
      <c r="D23" s="5">
        <f>VLOOKUP($C23,'Finished goods'!$A$5:$Q$27,2,FALSE)</f>
        <v>4</v>
      </c>
      <c r="E23" s="5">
        <f>VLOOKUP($C23,'Finished goods'!$A$5:$Q$27,3,FALSE)</f>
        <v>2</v>
      </c>
      <c r="F23" s="5">
        <f>VLOOKUP($C23,'Finished goods'!$A$5:$Q$27,4,FALSE)</f>
        <v>5.15</v>
      </c>
      <c r="G23" s="5">
        <f>VLOOKUP($C23,'Finished goods'!$A$5:$Q$27,5,FALSE)</f>
        <v>315</v>
      </c>
      <c r="H23" s="8">
        <f>VLOOKUP($C23,'Finished goods'!$A$5:$Q$27,6,FALSE)</f>
        <v>8.005105E-4</v>
      </c>
      <c r="I23" s="9">
        <f>VLOOKUP($C23,'Finished goods'!$A$5:$Q$27,7,FALSE)</f>
        <v>2.2236402777777777</v>
      </c>
      <c r="J23" s="9">
        <f>VLOOKUP($C23,'Finished goods'!$A$5:$Q$27,8,FALSE)</f>
        <v>2.0012762500000001</v>
      </c>
      <c r="R23" s="23">
        <v>2</v>
      </c>
      <c r="S23" s="6">
        <f t="shared" si="9"/>
        <v>630</v>
      </c>
      <c r="T23" s="6">
        <f t="shared" si="10"/>
        <v>4.4472805555555555</v>
      </c>
      <c r="U23" s="4">
        <f t="shared" si="12"/>
        <v>4.0025525000000002</v>
      </c>
      <c r="V23" s="16">
        <f>+S23*$M$3/'COST DATA'!$D$26</f>
        <v>5.3311345436076003</v>
      </c>
      <c r="W23" s="16">
        <f t="shared" si="13"/>
        <v>2.71733289225E-2</v>
      </c>
      <c r="X23" s="27">
        <f t="shared" si="14"/>
        <v>99.225000000000023</v>
      </c>
      <c r="Y23" s="27">
        <f t="shared" si="15"/>
        <v>37.094594594594597</v>
      </c>
      <c r="Z23" s="4">
        <f>+(S23/$S$3)*('Finished goods'!$Q$3*'Project Ostelliere'!$S$1)</f>
        <v>1.6730679165000002</v>
      </c>
      <c r="AA23" s="4">
        <f>+'Finished goods'!$O$3*'Project Ostelliere'!T23</f>
        <v>0.51553451124086935</v>
      </c>
      <c r="AB23" s="4"/>
      <c r="AC23" s="7">
        <f t="shared" si="16"/>
        <v>143.86650489486561</v>
      </c>
    </row>
    <row r="24" spans="1:29" x14ac:dyDescent="0.3">
      <c r="A24" s="243"/>
      <c r="B24" s="21" t="s">
        <v>122</v>
      </c>
      <c r="C24" s="4" t="str">
        <f t="shared" si="11"/>
        <v>Vaso bitorzolo dritto</v>
      </c>
      <c r="D24" s="5">
        <f>VLOOKUP($C24,'Finished goods'!$A$5:$Q$27,2,FALSE)</f>
        <v>4</v>
      </c>
      <c r="E24" s="5">
        <f>VLOOKUP($C24,'Finished goods'!$A$5:$Q$27,3,FALSE)</f>
        <v>2</v>
      </c>
      <c r="F24" s="5">
        <f>VLOOKUP($C24,'Finished goods'!$A$5:$Q$27,4,FALSE)</f>
        <v>4.4800000000000004</v>
      </c>
      <c r="G24" s="5">
        <f>VLOOKUP($C24,'Finished goods'!$A$5:$Q$27,5,FALSE)</f>
        <v>288</v>
      </c>
      <c r="H24" s="8">
        <f>VLOOKUP($C24,'Finished goods'!$A$5:$Q$27,6,FALSE)</f>
        <v>8.2321687099999998E-4</v>
      </c>
      <c r="I24" s="9">
        <f>VLOOKUP($C24,'Finished goods'!$A$5:$Q$27,7,FALSE)</f>
        <v>2.2867135305555553</v>
      </c>
      <c r="J24" s="9">
        <f>VLOOKUP($C24,'Finished goods'!$A$5:$Q$27,8,FALSE)</f>
        <v>2.0580421775</v>
      </c>
      <c r="R24" s="23">
        <v>2</v>
      </c>
      <c r="S24" s="6">
        <f t="shared" si="9"/>
        <v>576</v>
      </c>
      <c r="T24" s="6">
        <f t="shared" si="10"/>
        <v>4.5734270611111105</v>
      </c>
      <c r="U24" s="4">
        <f t="shared" si="12"/>
        <v>4.1160843549999999</v>
      </c>
      <c r="V24" s="16">
        <f>+S24*$M$3/'COST DATA'!$D$26</f>
        <v>4.8741801541555203</v>
      </c>
      <c r="W24" s="16">
        <f t="shared" si="13"/>
        <v>2.7944096686094998E-2</v>
      </c>
      <c r="X24" s="27">
        <f t="shared" si="14"/>
        <v>90.720000000000013</v>
      </c>
      <c r="Y24" s="27">
        <f t="shared" si="15"/>
        <v>33.915057915057915</v>
      </c>
      <c r="Z24" s="4">
        <f>+(S24/$S$3)*('Finished goods'!$Q$3*'Project Ostelliere'!$S$1)</f>
        <v>1.5296620950857143</v>
      </c>
      <c r="AA24" s="4">
        <f>+'Finished goods'!$O$3*'Project Ostelliere'!T24</f>
        <v>0.53015757724130141</v>
      </c>
      <c r="AB24" s="4"/>
      <c r="AC24" s="7">
        <f t="shared" si="16"/>
        <v>131.59700183822656</v>
      </c>
    </row>
    <row r="25" spans="1:29" x14ac:dyDescent="0.3">
      <c r="A25" s="243"/>
      <c r="B25" s="21" t="s">
        <v>122</v>
      </c>
      <c r="C25" s="4" t="str">
        <f t="shared" si="11"/>
        <v>Porta riviste</v>
      </c>
      <c r="D25" s="5">
        <f>VLOOKUP($C25,'Finished goods'!$A$5:$Q$27,2,FALSE)</f>
        <v>10</v>
      </c>
      <c r="E25" s="5">
        <f>VLOOKUP($C25,'Finished goods'!$A$5:$Q$27,3,FALSE)</f>
        <v>10</v>
      </c>
      <c r="F25" s="5">
        <f>VLOOKUP($C25,'Finished goods'!$A$5:$Q$27,4,FALSE)</f>
        <v>0.42</v>
      </c>
      <c r="G25" s="5">
        <f>VLOOKUP($C25,'Finished goods'!$A$5:$Q$27,5,FALSE)</f>
        <v>42</v>
      </c>
      <c r="H25" s="8">
        <f>VLOOKUP($C25,'Finished goods'!$A$5:$Q$27,6,FALSE)</f>
        <v>3.5606798E-3</v>
      </c>
      <c r="I25" s="9">
        <f>VLOOKUP($C25,'Finished goods'!$A$5:$Q$27,7,FALSE)</f>
        <v>9.890777222222221</v>
      </c>
      <c r="J25" s="9">
        <f>VLOOKUP($C25,'Finished goods'!$A$5:$Q$27,8,FALSE)</f>
        <v>8.9016994999999994</v>
      </c>
      <c r="R25" s="23">
        <v>2</v>
      </c>
      <c r="S25" s="6">
        <f t="shared" si="9"/>
        <v>84</v>
      </c>
      <c r="T25" s="6">
        <f t="shared" si="10"/>
        <v>19.781554444444442</v>
      </c>
      <c r="U25" s="4">
        <f t="shared" si="12"/>
        <v>17.803398999999999</v>
      </c>
      <c r="V25" s="16">
        <f>+S25*$M$3/'COST DATA'!$D$26</f>
        <v>0.71081793914767988</v>
      </c>
      <c r="W25" s="16">
        <f t="shared" si="13"/>
        <v>0.12086727581099999</v>
      </c>
      <c r="X25" s="27">
        <f t="shared" si="14"/>
        <v>13.230000000000002</v>
      </c>
      <c r="Y25" s="27">
        <f t="shared" si="15"/>
        <v>4.9459459459459456</v>
      </c>
      <c r="Z25" s="4">
        <f>+(S25/$S$3)*('Finished goods'!$Q$3*'Project Ostelliere'!$S$1)</f>
        <v>0.22307572219999999</v>
      </c>
      <c r="AA25" s="4">
        <f>+'Finished goods'!$O$3*'Project Ostelliere'!T25</f>
        <v>2.2931033638887142</v>
      </c>
      <c r="AB25" s="4"/>
      <c r="AC25" s="7">
        <f t="shared" si="16"/>
        <v>21.523810246993346</v>
      </c>
    </row>
    <row r="26" spans="1:29" x14ac:dyDescent="0.3">
      <c r="A26" s="243"/>
      <c r="B26" s="21" t="s">
        <v>122</v>
      </c>
      <c r="C26" s="4" t="str">
        <f t="shared" si="11"/>
        <v>Lampada 90 grossa</v>
      </c>
      <c r="D26" s="5">
        <f>VLOOKUP($C26,'Finished goods'!$A$5:$Q$27,2,FALSE)</f>
        <v>8</v>
      </c>
      <c r="E26" s="5">
        <f>VLOOKUP($C26,'Finished goods'!$A$5:$Q$27,3,FALSE)</f>
        <v>10</v>
      </c>
      <c r="F26" s="5">
        <f>VLOOKUP($C26,'Finished goods'!$A$5:$Q$27,4,FALSE)</f>
        <v>1.39</v>
      </c>
      <c r="G26" s="5">
        <f>VLOOKUP($C26,'Finished goods'!$A$5:$Q$27,5,FALSE)</f>
        <v>99</v>
      </c>
      <c r="H26" s="8">
        <f>VLOOKUP($C26,'Finished goods'!$A$5:$Q$27,6,FALSE)</f>
        <v>1.7366300000000001E-3</v>
      </c>
      <c r="I26" s="9">
        <f>VLOOKUP($C26,'Finished goods'!$A$5:$Q$27,7,FALSE)</f>
        <v>4.8239722222222232</v>
      </c>
      <c r="J26" s="9">
        <f>VLOOKUP($C26,'Finished goods'!$A$5:$Q$27,8,FALSE)</f>
        <v>4.3415750000000006</v>
      </c>
      <c r="R26" s="23">
        <v>1</v>
      </c>
      <c r="S26" s="6">
        <f t="shared" si="9"/>
        <v>99</v>
      </c>
      <c r="T26" s="6">
        <f t="shared" si="10"/>
        <v>4.8239722222222232</v>
      </c>
      <c r="U26" s="4">
        <f t="shared" si="12"/>
        <v>4.3415750000000006</v>
      </c>
      <c r="V26" s="16">
        <f>+S26*$M$3/'COST DATA'!$D$26</f>
        <v>0.83774971399547993</v>
      </c>
      <c r="W26" s="16">
        <f t="shared" si="13"/>
        <v>2.9474952675000003E-2</v>
      </c>
      <c r="X26" s="27">
        <f t="shared" si="14"/>
        <v>15.592500000000003</v>
      </c>
      <c r="Y26" s="27">
        <f t="shared" si="15"/>
        <v>5.8291505791505793</v>
      </c>
      <c r="Z26" s="4">
        <f>+(S26/$S$3)*('Finished goods'!$Q$3*'Project Ostelliere'!$S$1)</f>
        <v>0.26291067259285716</v>
      </c>
      <c r="AA26" s="4">
        <f>+'Finished goods'!$O$3*'Project Ostelliere'!T26</f>
        <v>0.55920109621062508</v>
      </c>
      <c r="AB26" s="4">
        <f>+'Finished goods'!P$10*R26</f>
        <v>24</v>
      </c>
      <c r="AC26" s="7">
        <f t="shared" si="16"/>
        <v>47.110987014624541</v>
      </c>
    </row>
    <row r="27" spans="1:29" x14ac:dyDescent="0.3">
      <c r="A27" s="243"/>
      <c r="B27" s="21" t="s">
        <v>122</v>
      </c>
      <c r="C27" s="4" t="str">
        <f t="shared" si="11"/>
        <v>Lampada 90 piccola</v>
      </c>
      <c r="D27" s="5">
        <f>VLOOKUP($C27,'Finished goods'!$A$5:$Q$27,2,FALSE)</f>
        <v>5</v>
      </c>
      <c r="E27" s="5">
        <f>VLOOKUP($C27,'Finished goods'!$A$5:$Q$27,3,FALSE)</f>
        <v>10</v>
      </c>
      <c r="F27" s="5">
        <f>VLOOKUP($C27,'Finished goods'!$A$5:$Q$27,4,FALSE)</f>
        <v>1.1499999999999999</v>
      </c>
      <c r="G27" s="5">
        <f>VLOOKUP($C27,'Finished goods'!$A$5:$Q$27,5,FALSE)</f>
        <v>75</v>
      </c>
      <c r="H27" s="8">
        <f>VLOOKUP($C27,'Finished goods'!$A$5:$Q$27,6,FALSE)</f>
        <v>8.1557296000000004E-4</v>
      </c>
      <c r="I27" s="9">
        <f>VLOOKUP($C27,'Finished goods'!$A$5:$Q$27,7,FALSE)</f>
        <v>2.2654804444444445</v>
      </c>
      <c r="J27" s="9">
        <f>VLOOKUP($C27,'Finished goods'!$A$5:$Q$27,8,FALSE)</f>
        <v>2.0389324000000002</v>
      </c>
      <c r="R27" s="23">
        <v>6</v>
      </c>
      <c r="S27" s="6">
        <f t="shared" si="9"/>
        <v>450</v>
      </c>
      <c r="T27" s="6">
        <f t="shared" si="10"/>
        <v>13.592882666666668</v>
      </c>
      <c r="U27" s="4">
        <f t="shared" si="12"/>
        <v>12.233594400000001</v>
      </c>
      <c r="V27" s="16">
        <f>+S27*$M$3/'COST DATA'!$D$26</f>
        <v>3.8079532454339997</v>
      </c>
      <c r="W27" s="16">
        <f t="shared" si="13"/>
        <v>8.3053872381600002E-2</v>
      </c>
      <c r="X27" s="27">
        <f t="shared" si="14"/>
        <v>70.875000000000014</v>
      </c>
      <c r="Y27" s="27">
        <f t="shared" si="15"/>
        <v>26.496138996138995</v>
      </c>
      <c r="Z27" s="4">
        <f>+(S27/$S$3)*('Finished goods'!$Q$3*'Project Ostelliere'!$S$1)</f>
        <v>1.1950485117857144</v>
      </c>
      <c r="AA27" s="4">
        <f>+'Finished goods'!$O$3*'Project Ostelliere'!T27</f>
        <v>1.5757045309769298</v>
      </c>
      <c r="AB27" s="4">
        <f>+'Finished goods'!P$11*R27</f>
        <v>144</v>
      </c>
      <c r="AC27" s="7">
        <f t="shared" si="16"/>
        <v>248.03289915671726</v>
      </c>
    </row>
    <row r="28" spans="1:29" x14ac:dyDescent="0.3">
      <c r="A28" s="243"/>
      <c r="B28" s="21" t="s">
        <v>122</v>
      </c>
      <c r="C28" s="4" t="str">
        <f t="shared" si="11"/>
        <v>Vaso Logo</v>
      </c>
      <c r="D28" s="5">
        <f>VLOOKUP($C28,'Finished goods'!$A$5:$Q$27,2,FALSE)</f>
        <v>5</v>
      </c>
      <c r="E28" s="5">
        <f>VLOOKUP($C28,'Finished goods'!$A$5:$Q$27,3,FALSE)</f>
        <v>10</v>
      </c>
      <c r="F28" s="5">
        <f>VLOOKUP($C28,'Finished goods'!$A$5:$Q$27,4,FALSE)</f>
        <v>0.39</v>
      </c>
      <c r="G28" s="5">
        <f>VLOOKUP($C28,'Finished goods'!$A$5:$Q$27,5,FALSE)</f>
        <v>39</v>
      </c>
      <c r="H28" s="8">
        <f>VLOOKUP($C28,'Finished goods'!$A$5:$Q$27,6,FALSE)</f>
        <v>1.1639584900000001E-3</v>
      </c>
      <c r="I28" s="9">
        <f>VLOOKUP($C28,'Finished goods'!$A$5:$Q$27,7,FALSE)</f>
        <v>3.2332180277777778</v>
      </c>
      <c r="J28" s="9">
        <f>VLOOKUP($C28,'Finished goods'!$A$5:$Q$27,8,FALSE)</f>
        <v>2.9098962250000002</v>
      </c>
      <c r="R28" s="23">
        <v>3</v>
      </c>
      <c r="S28" s="6">
        <f t="shared" si="9"/>
        <v>117</v>
      </c>
      <c r="T28" s="6">
        <f t="shared" si="10"/>
        <v>9.6996540833333338</v>
      </c>
      <c r="U28" s="4">
        <f t="shared" si="12"/>
        <v>8.7296886750000002</v>
      </c>
      <c r="V28" s="16">
        <f>+S28*$M$3/'COST DATA'!$D$26</f>
        <v>0.99006784381283996</v>
      </c>
      <c r="W28" s="16">
        <f t="shared" si="13"/>
        <v>5.9265856414574998E-2</v>
      </c>
      <c r="X28" s="27">
        <f t="shared" si="14"/>
        <v>18.427500000000002</v>
      </c>
      <c r="Y28" s="27">
        <f t="shared" si="15"/>
        <v>6.8889961389961387</v>
      </c>
      <c r="Z28" s="4">
        <f>+(S28/$S$3)*('Finished goods'!$Q$3*'Project Ostelliere'!$S$1)</f>
        <v>0.31071261306428571</v>
      </c>
      <c r="AA28" s="4">
        <f>+'Finished goods'!$O$3*'Project Ostelliere'!T28</f>
        <v>1.1243964406091058</v>
      </c>
      <c r="AB28" s="4"/>
      <c r="AC28" s="7">
        <f t="shared" si="16"/>
        <v>27.800938892896948</v>
      </c>
    </row>
    <row r="29" spans="1:29" x14ac:dyDescent="0.3">
      <c r="A29" s="243"/>
      <c r="B29" s="21" t="s">
        <v>122</v>
      </c>
      <c r="C29" s="4" t="str">
        <f t="shared" si="11"/>
        <v>Copri candela</v>
      </c>
      <c r="D29" s="5">
        <f>VLOOKUP($C29,'Finished goods'!$A$5:$Q$27,2,FALSE)</f>
        <v>4</v>
      </c>
      <c r="E29" s="5">
        <f>VLOOKUP($C29,'Finished goods'!$A$5:$Q$27,3,FALSE)</f>
        <v>5</v>
      </c>
      <c r="F29" s="5">
        <f>VLOOKUP($C29,'Finished goods'!$A$5:$Q$27,4,FALSE)</f>
        <v>0.34</v>
      </c>
      <c r="G29" s="5">
        <f>VLOOKUP($C29,'Finished goods'!$A$5:$Q$27,5,FALSE)</f>
        <v>34</v>
      </c>
      <c r="H29" s="8">
        <f>VLOOKUP($C29,'Finished goods'!$A$5:$Q$27,6,FALSE)</f>
        <v>2.3780405299999999E-4</v>
      </c>
      <c r="I29" s="9">
        <f>VLOOKUP($C29,'Finished goods'!$A$5:$Q$27,7,FALSE)</f>
        <v>0.66056681388888883</v>
      </c>
      <c r="J29" s="9">
        <f>VLOOKUP($C29,'Finished goods'!$A$5:$Q$27,8,FALSE)</f>
        <v>0.59451013249999995</v>
      </c>
      <c r="R29" s="23">
        <v>15</v>
      </c>
      <c r="S29" s="6">
        <f t="shared" si="9"/>
        <v>510</v>
      </c>
      <c r="T29" s="6">
        <f t="shared" si="10"/>
        <v>9.9085022083333332</v>
      </c>
      <c r="U29" s="4">
        <f t="shared" si="12"/>
        <v>8.9176519874999993</v>
      </c>
      <c r="V29" s="16">
        <f>+S29*$M$3/'COST DATA'!$D$26</f>
        <v>4.3156803448251999</v>
      </c>
      <c r="W29" s="16">
        <f t="shared" si="13"/>
        <v>6.0541939343137494E-2</v>
      </c>
      <c r="X29" s="27">
        <f t="shared" si="14"/>
        <v>80.325000000000017</v>
      </c>
      <c r="Y29" s="27">
        <f t="shared" si="15"/>
        <v>30.02895752895753</v>
      </c>
      <c r="Z29" s="4">
        <f>+(S29/$S$3)*('Finished goods'!$Q$3*'Project Ostelliere'!$S$1)</f>
        <v>1.3543883133571428</v>
      </c>
      <c r="AA29" s="4">
        <f>+'Finished goods'!$O$3*'Project Ostelliere'!T29</f>
        <v>1.1486063852484083</v>
      </c>
      <c r="AB29" s="4"/>
      <c r="AC29" s="7">
        <f t="shared" si="16"/>
        <v>117.23317451173145</v>
      </c>
    </row>
    <row r="30" spans="1:29" x14ac:dyDescent="0.3">
      <c r="A30" s="244"/>
      <c r="B30" s="21" t="s">
        <v>122</v>
      </c>
      <c r="C30" s="4" t="str">
        <f t="shared" si="11"/>
        <v xml:space="preserve">Vaso Grosso </v>
      </c>
      <c r="D30" s="5">
        <f>VLOOKUP($C30,'Finished goods'!$A$5:$Q$27,2,FALSE)</f>
        <v>4</v>
      </c>
      <c r="E30" s="5">
        <f>VLOOKUP($C30,'Finished goods'!$A$5:$Q$27,3,FALSE)</f>
        <v>5</v>
      </c>
      <c r="F30" s="5">
        <f>VLOOKUP($C30,'Finished goods'!$A$5:$Q$27,4,FALSE)</f>
        <v>1.31</v>
      </c>
      <c r="G30" s="5">
        <f>VLOOKUP($C30,'Finished goods'!$A$5:$Q$27,5,FALSE)</f>
        <v>91</v>
      </c>
      <c r="H30" s="8">
        <f>VLOOKUP($C30,'Finished goods'!$A$5:$Q$27,6,FALSE)</f>
        <v>9.52764444E-4</v>
      </c>
      <c r="I30" s="9">
        <f>VLOOKUP($C30,'Finished goods'!$A$5:$Q$27,7,FALSE)</f>
        <v>2.6465679</v>
      </c>
      <c r="J30" s="9">
        <f>VLOOKUP($C30,'Finished goods'!$A$5:$Q$27,8,FALSE)</f>
        <v>2.3819111099999999</v>
      </c>
      <c r="R30" s="23">
        <v>2</v>
      </c>
      <c r="S30" s="6">
        <f t="shared" si="9"/>
        <v>182</v>
      </c>
      <c r="T30" s="6">
        <f t="shared" si="10"/>
        <v>5.2931357999999999</v>
      </c>
      <c r="U30" s="4">
        <f t="shared" si="12"/>
        <v>4.7638222199999998</v>
      </c>
      <c r="V30" s="16">
        <f>+S30*$M$3/'COST DATA'!$D$26</f>
        <v>1.5401055348199733</v>
      </c>
      <c r="W30" s="16">
        <f t="shared" si="13"/>
        <v>3.2341589051580001E-2</v>
      </c>
      <c r="X30" s="27">
        <f t="shared" si="14"/>
        <v>28.665000000000006</v>
      </c>
      <c r="Y30" s="27">
        <f t="shared" si="15"/>
        <v>10.716216216216216</v>
      </c>
      <c r="Z30" s="4">
        <f>+(S30/$S$3)*('Finished goods'!$Q$3*'Project Ostelliere'!$S$1)</f>
        <v>0.48333073143333333</v>
      </c>
      <c r="AA30" s="4">
        <f>+'Finished goods'!$O$3*'Project Ostelliere'!T30</f>
        <v>0.61358714465983732</v>
      </c>
      <c r="AB30" s="4"/>
      <c r="AC30" s="7">
        <f t="shared" si="16"/>
        <v>42.050581216180944</v>
      </c>
    </row>
    <row r="33" spans="1:29" ht="18" x14ac:dyDescent="0.35">
      <c r="D33" s="237" t="s">
        <v>40</v>
      </c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4" t="s">
        <v>32</v>
      </c>
      <c r="S33" s="47">
        <f>+S35/60/7</f>
        <v>8.2238095238095248</v>
      </c>
      <c r="T33" t="s">
        <v>83</v>
      </c>
    </row>
    <row r="34" spans="1:29" x14ac:dyDescent="0.3">
      <c r="D34" s="236" t="s">
        <v>33</v>
      </c>
      <c r="E34" s="236"/>
      <c r="F34" s="236"/>
      <c r="G34" s="236"/>
      <c r="H34" s="236"/>
      <c r="I34" s="236"/>
      <c r="J34" s="236"/>
      <c r="M34" s="236" t="s">
        <v>36</v>
      </c>
      <c r="N34" s="236"/>
      <c r="O34" s="236"/>
      <c r="P34" s="236"/>
      <c r="Q34" s="236"/>
      <c r="V34" s="241" t="s">
        <v>41</v>
      </c>
      <c r="W34" s="241"/>
      <c r="X34" s="241"/>
      <c r="Y34" s="241"/>
      <c r="Z34" s="241"/>
      <c r="AA34" s="241"/>
      <c r="AB34" s="241"/>
      <c r="AC34" s="241"/>
    </row>
    <row r="35" spans="1:29" ht="18" x14ac:dyDescent="0.35">
      <c r="F35" s="225" t="s">
        <v>44</v>
      </c>
      <c r="G35" s="225"/>
      <c r="I35" s="20">
        <f>SUBTOTAL(9,I37:I46)</f>
        <v>51.856758661111115</v>
      </c>
      <c r="J35" s="20">
        <f>SUBTOTAL(9,J37:J46)</f>
        <v>46.67108279499999</v>
      </c>
      <c r="K35" s="1">
        <f>+'Finished goods'!$I$3</f>
        <v>2500</v>
      </c>
      <c r="L35" s="1">
        <f>+'Finished goods'!$J$3</f>
        <v>0.9</v>
      </c>
      <c r="M35" s="15">
        <f>+'Finished goods'!$K$3</f>
        <v>0.50772709939119998</v>
      </c>
      <c r="N35" s="15">
        <f>+'Finished goods'!$L$3</f>
        <v>6.7889999999999999E-3</v>
      </c>
      <c r="O35" s="13">
        <f>+'Finished goods'!$M$3</f>
        <v>0.15750000000000003</v>
      </c>
      <c r="P35" s="46">
        <f>+'Finished goods'!$N$3</f>
        <v>5.8880308880308881E-2</v>
      </c>
      <c r="Q35" s="1"/>
      <c r="S35" s="17">
        <f t="shared" ref="S35:AC35" si="17">SUBTOTAL(9,S37:S46)</f>
        <v>3454</v>
      </c>
      <c r="T35" s="17">
        <f t="shared" si="17"/>
        <v>119.7720534861111</v>
      </c>
      <c r="U35" s="17">
        <f t="shared" si="17"/>
        <v>107.7948481375</v>
      </c>
      <c r="V35" s="18">
        <f t="shared" si="17"/>
        <v>29.228156688286745</v>
      </c>
      <c r="W35" s="18">
        <f t="shared" si="17"/>
        <v>0.73181922400548749</v>
      </c>
      <c r="X35" s="18">
        <f t="shared" si="17"/>
        <v>544.00500000000011</v>
      </c>
      <c r="Y35" s="18">
        <f t="shared" si="17"/>
        <v>203.37258687258691</v>
      </c>
      <c r="Z35" s="18">
        <f t="shared" si="17"/>
        <v>9.1726612437952397</v>
      </c>
      <c r="AA35" s="18">
        <f t="shared" si="17"/>
        <v>13.884131275941989</v>
      </c>
      <c r="AB35" s="18">
        <f t="shared" si="17"/>
        <v>468</v>
      </c>
      <c r="AC35" s="19">
        <f t="shared" si="17"/>
        <v>1268.3943553046165</v>
      </c>
    </row>
    <row r="36" spans="1:29" x14ac:dyDescent="0.3">
      <c r="A36" s="1" t="s">
        <v>145</v>
      </c>
      <c r="B36" s="1" t="s">
        <v>30</v>
      </c>
      <c r="C36" s="1" t="s">
        <v>0</v>
      </c>
      <c r="D36" s="1" t="s">
        <v>4</v>
      </c>
      <c r="E36" s="1" t="s">
        <v>5</v>
      </c>
      <c r="F36" s="1" t="s">
        <v>45</v>
      </c>
      <c r="G36" s="1" t="s">
        <v>57</v>
      </c>
      <c r="H36" s="1" t="s">
        <v>6</v>
      </c>
      <c r="I36" s="1" t="s">
        <v>2</v>
      </c>
      <c r="J36" s="1" t="s">
        <v>7</v>
      </c>
      <c r="K36" s="1" t="s">
        <v>31</v>
      </c>
      <c r="L36" s="1" t="s">
        <v>8</v>
      </c>
      <c r="M36" s="1" t="s">
        <v>34</v>
      </c>
      <c r="N36" s="1" t="s">
        <v>35</v>
      </c>
      <c r="O36" s="1" t="s">
        <v>37</v>
      </c>
      <c r="P36" s="1" t="s">
        <v>79</v>
      </c>
      <c r="Q36" s="1" t="s">
        <v>38</v>
      </c>
      <c r="R36" s="1" t="s">
        <v>39</v>
      </c>
      <c r="S36" s="2" t="s">
        <v>43</v>
      </c>
      <c r="T36" s="2" t="s">
        <v>2</v>
      </c>
      <c r="U36" s="2" t="s">
        <v>7</v>
      </c>
      <c r="V36" s="2">
        <f>+'Finished goods'!K36</f>
        <v>0</v>
      </c>
      <c r="W36" s="2">
        <f>+'Finished goods'!L36</f>
        <v>0</v>
      </c>
      <c r="X36" s="2">
        <f>+'Finished goods'!M36</f>
        <v>0</v>
      </c>
      <c r="Y36" s="2">
        <f>+'Finished goods'!N36</f>
        <v>0</v>
      </c>
      <c r="Z36" s="2">
        <f>+'Finished goods'!Q36</f>
        <v>0</v>
      </c>
      <c r="AA36" s="3" t="s">
        <v>111</v>
      </c>
      <c r="AB36" s="3" t="s">
        <v>115</v>
      </c>
      <c r="AC36" s="3" t="s">
        <v>42</v>
      </c>
    </row>
    <row r="37" spans="1:29" ht="14.4" customHeight="1" x14ac:dyDescent="0.3">
      <c r="A37" s="242" t="s">
        <v>413</v>
      </c>
      <c r="B37" s="21" t="s">
        <v>122</v>
      </c>
      <c r="C37" s="4" t="str">
        <f>+C21</f>
        <v>Tavolo twist Logo</v>
      </c>
      <c r="D37" s="5">
        <f>VLOOKUP($C37,'Finished goods'!$A$5:$Q$27,2,FALSE)</f>
        <v>8</v>
      </c>
      <c r="E37" s="5">
        <f>VLOOKUP($C37,'Finished goods'!$A$5:$Q$27,3,FALSE)</f>
        <v>10</v>
      </c>
      <c r="F37" s="5">
        <f>VLOOKUP($C37,'Finished goods'!$A$5:$Q$27,4,FALSE)</f>
        <v>1.22</v>
      </c>
      <c r="G37" s="5">
        <f>VLOOKUP($C37,'Finished goods'!$A$5:$Q$27,5,FALSE)</f>
        <v>82</v>
      </c>
      <c r="H37" s="8">
        <f>VLOOKUP($C37,'Finished goods'!$A$5:$Q$27,6,FALSE)</f>
        <v>7.9769999999999997E-3</v>
      </c>
      <c r="I37" s="9">
        <f>VLOOKUP($C37,'Finished goods'!$A$5:$Q$27,7,FALSE)</f>
        <v>22.158333333333331</v>
      </c>
      <c r="J37" s="9">
        <f>VLOOKUP($C37,'Finished goods'!$A$5:$Q$27,8,FALSE)</f>
        <v>19.942499999999999</v>
      </c>
      <c r="R37" s="23">
        <v>2</v>
      </c>
      <c r="S37" s="6">
        <f t="shared" ref="S37:S46" si="18">+G37*$R37</f>
        <v>164</v>
      </c>
      <c r="T37" s="6">
        <f t="shared" ref="T37:T46" si="19">+I37*$R37</f>
        <v>44.316666666666663</v>
      </c>
      <c r="U37" s="4">
        <f>+J37*$R37</f>
        <v>39.884999999999998</v>
      </c>
      <c r="V37" s="16">
        <f>+S37*$M$3/'COST DATA'!$D$26</f>
        <v>1.3877874050026131</v>
      </c>
      <c r="W37" s="16">
        <f>+U37*$N$3</f>
        <v>0.27077926499999999</v>
      </c>
      <c r="X37" s="27">
        <f>+S37*$O$3</f>
        <v>25.830000000000005</v>
      </c>
      <c r="Y37" s="27">
        <f>+S37*$P$3</f>
        <v>9.6563706563706564</v>
      </c>
      <c r="Z37" s="4">
        <f>+(S37/$S$3)*('Finished goods'!$Q$3*'Project Ostelliere'!$S$1)</f>
        <v>0.43552879096190478</v>
      </c>
      <c r="AA37" s="4">
        <f>+'Finished goods'!$O$3*'Project Ostelliere'!T37</f>
        <v>5.1372452905594805</v>
      </c>
      <c r="AB37" s="4">
        <f>+'Finished goods'!P$5*R37</f>
        <v>300</v>
      </c>
      <c r="AC37" s="7">
        <f>+V37+W37+X37+Y37+Z37+AA37+AB37</f>
        <v>342.71771140789463</v>
      </c>
    </row>
    <row r="38" spans="1:29" x14ac:dyDescent="0.3">
      <c r="A38" s="243"/>
      <c r="B38" s="21" t="s">
        <v>122</v>
      </c>
      <c r="C38" s="4" t="str">
        <f t="shared" ref="C38:C46" si="20">+C22</f>
        <v xml:space="preserve">Vaso bitorzolo curvo </v>
      </c>
      <c r="D38" s="5">
        <f>VLOOKUP($C38,'Finished goods'!$A$5:$Q$27,2,FALSE)</f>
        <v>4</v>
      </c>
      <c r="E38" s="5">
        <f>VLOOKUP($C38,'Finished goods'!$A$5:$Q$27,3,FALSE)</f>
        <v>2</v>
      </c>
      <c r="F38" s="5">
        <f>VLOOKUP($C38,'Finished goods'!$A$5:$Q$27,4,FALSE)</f>
        <v>5.21</v>
      </c>
      <c r="G38" s="5">
        <f>VLOOKUP($C38,'Finished goods'!$A$5:$Q$27,5,FALSE)</f>
        <v>321</v>
      </c>
      <c r="H38" s="8">
        <f>VLOOKUP($C38,'Finished goods'!$A$5:$Q$27,6,FALSE)</f>
        <v>6.0029599999999995E-4</v>
      </c>
      <c r="I38" s="9">
        <f>VLOOKUP($C38,'Finished goods'!$A$5:$Q$27,7,FALSE)</f>
        <v>1.6674888888888888</v>
      </c>
      <c r="J38" s="9">
        <f>VLOOKUP($C38,'Finished goods'!$A$5:$Q$27,8,FALSE)</f>
        <v>1.50074</v>
      </c>
      <c r="R38" s="23">
        <v>2</v>
      </c>
      <c r="S38" s="6">
        <f t="shared" si="18"/>
        <v>642</v>
      </c>
      <c r="T38" s="6">
        <f t="shared" si="19"/>
        <v>3.3349777777777776</v>
      </c>
      <c r="U38" s="4">
        <f t="shared" ref="U38:U46" si="21">+J38*$R38</f>
        <v>3.0014799999999999</v>
      </c>
      <c r="V38" s="16">
        <f>+S38*$M$3/'COST DATA'!$D$26</f>
        <v>5.4326799634858398</v>
      </c>
      <c r="W38" s="16">
        <f t="shared" ref="W38:W46" si="22">+U38*$N$3</f>
        <v>2.0377047719999999E-2</v>
      </c>
      <c r="X38" s="27">
        <f t="shared" ref="X38:X46" si="23">+S38*$O$3</f>
        <v>101.11500000000002</v>
      </c>
      <c r="Y38" s="27">
        <f t="shared" ref="Y38:Y46" si="24">+S38*$P$3</f>
        <v>37.801158301158303</v>
      </c>
      <c r="Z38" s="4">
        <f>+(S38/$S$3)*('Finished goods'!$Q$3*'Project Ostelliere'!$S$1)</f>
        <v>1.7049358768142857</v>
      </c>
      <c r="AA38" s="4">
        <f>+'Finished goods'!$O$3*'Project Ostelliere'!T38</f>
        <v>0.38659493530671857</v>
      </c>
      <c r="AB38" s="4"/>
      <c r="AC38" s="7">
        <f t="shared" ref="AC38:AC46" si="25">+V38+W38+X38+Y38+Z38+AA38+AB38</f>
        <v>146.46074612448518</v>
      </c>
    </row>
    <row r="39" spans="1:29" x14ac:dyDescent="0.3">
      <c r="A39" s="243"/>
      <c r="B39" s="21" t="s">
        <v>122</v>
      </c>
      <c r="C39" s="4" t="str">
        <f t="shared" si="20"/>
        <v>Vaso bitorzolo twist</v>
      </c>
      <c r="D39" s="5">
        <f>VLOOKUP($C39,'Finished goods'!$A$5:$Q$27,2,FALSE)</f>
        <v>4</v>
      </c>
      <c r="E39" s="5">
        <f>VLOOKUP($C39,'Finished goods'!$A$5:$Q$27,3,FALSE)</f>
        <v>2</v>
      </c>
      <c r="F39" s="5">
        <f>VLOOKUP($C39,'Finished goods'!$A$5:$Q$27,4,FALSE)</f>
        <v>5.15</v>
      </c>
      <c r="G39" s="5">
        <f>VLOOKUP($C39,'Finished goods'!$A$5:$Q$27,5,FALSE)</f>
        <v>315</v>
      </c>
      <c r="H39" s="8">
        <f>VLOOKUP($C39,'Finished goods'!$A$5:$Q$27,6,FALSE)</f>
        <v>8.005105E-4</v>
      </c>
      <c r="I39" s="9">
        <f>VLOOKUP($C39,'Finished goods'!$A$5:$Q$27,7,FALSE)</f>
        <v>2.2236402777777777</v>
      </c>
      <c r="J39" s="9">
        <f>VLOOKUP($C39,'Finished goods'!$A$5:$Q$27,8,FALSE)</f>
        <v>2.0012762500000001</v>
      </c>
      <c r="R39" s="23">
        <v>2</v>
      </c>
      <c r="S39" s="6">
        <f t="shared" si="18"/>
        <v>630</v>
      </c>
      <c r="T39" s="6">
        <f t="shared" si="19"/>
        <v>4.4472805555555555</v>
      </c>
      <c r="U39" s="4">
        <f t="shared" si="21"/>
        <v>4.0025525000000002</v>
      </c>
      <c r="V39" s="16">
        <f>+S39*$M$3/'COST DATA'!$D$26</f>
        <v>5.3311345436076003</v>
      </c>
      <c r="W39" s="16">
        <f t="shared" si="22"/>
        <v>2.71733289225E-2</v>
      </c>
      <c r="X39" s="27">
        <f t="shared" si="23"/>
        <v>99.225000000000023</v>
      </c>
      <c r="Y39" s="27">
        <f t="shared" si="24"/>
        <v>37.094594594594597</v>
      </c>
      <c r="Z39" s="4">
        <f>+(S39/$S$3)*('Finished goods'!$Q$3*'Project Ostelliere'!$S$1)</f>
        <v>1.6730679165000002</v>
      </c>
      <c r="AA39" s="4">
        <f>+'Finished goods'!$O$3*'Project Ostelliere'!T39</f>
        <v>0.51553451124086935</v>
      </c>
      <c r="AB39" s="4"/>
      <c r="AC39" s="7">
        <f t="shared" si="25"/>
        <v>143.86650489486561</v>
      </c>
    </row>
    <row r="40" spans="1:29" x14ac:dyDescent="0.3">
      <c r="A40" s="243"/>
      <c r="B40" s="21" t="s">
        <v>122</v>
      </c>
      <c r="C40" s="4" t="str">
        <f t="shared" si="20"/>
        <v>Vaso bitorzolo dritto</v>
      </c>
      <c r="D40" s="5">
        <f>VLOOKUP($C40,'Finished goods'!$A$5:$Q$27,2,FALSE)</f>
        <v>4</v>
      </c>
      <c r="E40" s="5">
        <f>VLOOKUP($C40,'Finished goods'!$A$5:$Q$27,3,FALSE)</f>
        <v>2</v>
      </c>
      <c r="F40" s="5">
        <f>VLOOKUP($C40,'Finished goods'!$A$5:$Q$27,4,FALSE)</f>
        <v>4.4800000000000004</v>
      </c>
      <c r="G40" s="5">
        <f>VLOOKUP($C40,'Finished goods'!$A$5:$Q$27,5,FALSE)</f>
        <v>288</v>
      </c>
      <c r="H40" s="8">
        <f>VLOOKUP($C40,'Finished goods'!$A$5:$Q$27,6,FALSE)</f>
        <v>8.2321687099999998E-4</v>
      </c>
      <c r="I40" s="9">
        <f>VLOOKUP($C40,'Finished goods'!$A$5:$Q$27,7,FALSE)</f>
        <v>2.2867135305555553</v>
      </c>
      <c r="J40" s="9">
        <f>VLOOKUP($C40,'Finished goods'!$A$5:$Q$27,8,FALSE)</f>
        <v>2.0580421775</v>
      </c>
      <c r="R40" s="23">
        <v>2</v>
      </c>
      <c r="S40" s="6">
        <f t="shared" si="18"/>
        <v>576</v>
      </c>
      <c r="T40" s="6">
        <f t="shared" si="19"/>
        <v>4.5734270611111105</v>
      </c>
      <c r="U40" s="4">
        <f t="shared" si="21"/>
        <v>4.1160843549999999</v>
      </c>
      <c r="V40" s="16">
        <f>+S40*$M$3/'COST DATA'!$D$26</f>
        <v>4.8741801541555203</v>
      </c>
      <c r="W40" s="16">
        <f t="shared" si="22"/>
        <v>2.7944096686094998E-2</v>
      </c>
      <c r="X40" s="27">
        <f t="shared" si="23"/>
        <v>90.720000000000013</v>
      </c>
      <c r="Y40" s="27">
        <f t="shared" si="24"/>
        <v>33.915057915057915</v>
      </c>
      <c r="Z40" s="4">
        <f>+(S40/$S$3)*('Finished goods'!$Q$3*'Project Ostelliere'!$S$1)</f>
        <v>1.5296620950857143</v>
      </c>
      <c r="AA40" s="4">
        <f>+'Finished goods'!$O$3*'Project Ostelliere'!T40</f>
        <v>0.53015757724130141</v>
      </c>
      <c r="AB40" s="4"/>
      <c r="AC40" s="7">
        <f t="shared" si="25"/>
        <v>131.59700183822656</v>
      </c>
    </row>
    <row r="41" spans="1:29" x14ac:dyDescent="0.3">
      <c r="A41" s="243"/>
      <c r="B41" s="21" t="s">
        <v>122</v>
      </c>
      <c r="C41" s="4" t="str">
        <f t="shared" si="20"/>
        <v>Porta riviste</v>
      </c>
      <c r="D41" s="5">
        <f>VLOOKUP($C41,'Finished goods'!$A$5:$Q$27,2,FALSE)</f>
        <v>10</v>
      </c>
      <c r="E41" s="5">
        <f>VLOOKUP($C41,'Finished goods'!$A$5:$Q$27,3,FALSE)</f>
        <v>10</v>
      </c>
      <c r="F41" s="5">
        <f>VLOOKUP($C41,'Finished goods'!$A$5:$Q$27,4,FALSE)</f>
        <v>0.42</v>
      </c>
      <c r="G41" s="5">
        <f>VLOOKUP($C41,'Finished goods'!$A$5:$Q$27,5,FALSE)</f>
        <v>42</v>
      </c>
      <c r="H41" s="8">
        <f>VLOOKUP($C41,'Finished goods'!$A$5:$Q$27,6,FALSE)</f>
        <v>3.5606798E-3</v>
      </c>
      <c r="I41" s="9">
        <f>VLOOKUP($C41,'Finished goods'!$A$5:$Q$27,7,FALSE)</f>
        <v>9.890777222222221</v>
      </c>
      <c r="J41" s="9">
        <f>VLOOKUP($C41,'Finished goods'!$A$5:$Q$27,8,FALSE)</f>
        <v>8.9016994999999994</v>
      </c>
      <c r="R41" s="23">
        <v>2</v>
      </c>
      <c r="S41" s="6">
        <f t="shared" si="18"/>
        <v>84</v>
      </c>
      <c r="T41" s="6">
        <f t="shared" si="19"/>
        <v>19.781554444444442</v>
      </c>
      <c r="U41" s="4">
        <f t="shared" si="21"/>
        <v>17.803398999999999</v>
      </c>
      <c r="V41" s="16">
        <f>+S41*$M$3/'COST DATA'!$D$26</f>
        <v>0.71081793914767988</v>
      </c>
      <c r="W41" s="16">
        <f t="shared" si="22"/>
        <v>0.12086727581099999</v>
      </c>
      <c r="X41" s="27">
        <f t="shared" si="23"/>
        <v>13.230000000000002</v>
      </c>
      <c r="Y41" s="27">
        <f t="shared" si="24"/>
        <v>4.9459459459459456</v>
      </c>
      <c r="Z41" s="4">
        <f>+(S41/$S$3)*('Finished goods'!$Q$3*'Project Ostelliere'!$S$1)</f>
        <v>0.22307572219999999</v>
      </c>
      <c r="AA41" s="4">
        <f>+'Finished goods'!$O$3*'Project Ostelliere'!T41</f>
        <v>2.2931033638887142</v>
      </c>
      <c r="AB41" s="4"/>
      <c r="AC41" s="7">
        <f t="shared" si="25"/>
        <v>21.523810246993346</v>
      </c>
    </row>
    <row r="42" spans="1:29" x14ac:dyDescent="0.3">
      <c r="A42" s="243"/>
      <c r="B42" s="21" t="s">
        <v>122</v>
      </c>
      <c r="C42" s="4" t="str">
        <f t="shared" si="20"/>
        <v>Lampada 90 grossa</v>
      </c>
      <c r="D42" s="5">
        <f>VLOOKUP($C42,'Finished goods'!$A$5:$Q$27,2,FALSE)</f>
        <v>8</v>
      </c>
      <c r="E42" s="5">
        <f>VLOOKUP($C42,'Finished goods'!$A$5:$Q$27,3,FALSE)</f>
        <v>10</v>
      </c>
      <c r="F42" s="5">
        <f>VLOOKUP($C42,'Finished goods'!$A$5:$Q$27,4,FALSE)</f>
        <v>1.39</v>
      </c>
      <c r="G42" s="5">
        <f>VLOOKUP($C42,'Finished goods'!$A$5:$Q$27,5,FALSE)</f>
        <v>99</v>
      </c>
      <c r="H42" s="8">
        <f>VLOOKUP($C42,'Finished goods'!$A$5:$Q$27,6,FALSE)</f>
        <v>1.7366300000000001E-3</v>
      </c>
      <c r="I42" s="9">
        <f>VLOOKUP($C42,'Finished goods'!$A$5:$Q$27,7,FALSE)</f>
        <v>4.8239722222222232</v>
      </c>
      <c r="J42" s="9">
        <f>VLOOKUP($C42,'Finished goods'!$A$5:$Q$27,8,FALSE)</f>
        <v>4.3415750000000006</v>
      </c>
      <c r="R42" s="23">
        <v>1</v>
      </c>
      <c r="S42" s="6">
        <f t="shared" si="18"/>
        <v>99</v>
      </c>
      <c r="T42" s="6">
        <f t="shared" si="19"/>
        <v>4.8239722222222232</v>
      </c>
      <c r="U42" s="4">
        <f t="shared" si="21"/>
        <v>4.3415750000000006</v>
      </c>
      <c r="V42" s="16">
        <f>+S42*$M$3/'COST DATA'!$D$26</f>
        <v>0.83774971399547993</v>
      </c>
      <c r="W42" s="16">
        <f t="shared" si="22"/>
        <v>2.9474952675000003E-2</v>
      </c>
      <c r="X42" s="27">
        <f t="shared" si="23"/>
        <v>15.592500000000003</v>
      </c>
      <c r="Y42" s="27">
        <f t="shared" si="24"/>
        <v>5.8291505791505793</v>
      </c>
      <c r="Z42" s="4">
        <f>+(S42/$S$3)*('Finished goods'!$Q$3*'Project Ostelliere'!$S$1)</f>
        <v>0.26291067259285716</v>
      </c>
      <c r="AA42" s="4">
        <f>+'Finished goods'!$O$3*'Project Ostelliere'!T42</f>
        <v>0.55920109621062508</v>
      </c>
      <c r="AB42" s="4">
        <f>+'Finished goods'!P$10*R42</f>
        <v>24</v>
      </c>
      <c r="AC42" s="7">
        <f t="shared" si="25"/>
        <v>47.110987014624541</v>
      </c>
    </row>
    <row r="43" spans="1:29" x14ac:dyDescent="0.3">
      <c r="A43" s="243"/>
      <c r="B43" s="21" t="s">
        <v>122</v>
      </c>
      <c r="C43" s="4" t="str">
        <f t="shared" si="20"/>
        <v>Lampada 90 piccola</v>
      </c>
      <c r="D43" s="5">
        <f>VLOOKUP($C43,'Finished goods'!$A$5:$Q$27,2,FALSE)</f>
        <v>5</v>
      </c>
      <c r="E43" s="5">
        <f>VLOOKUP($C43,'Finished goods'!$A$5:$Q$27,3,FALSE)</f>
        <v>10</v>
      </c>
      <c r="F43" s="5">
        <f>VLOOKUP($C43,'Finished goods'!$A$5:$Q$27,4,FALSE)</f>
        <v>1.1499999999999999</v>
      </c>
      <c r="G43" s="5">
        <f>VLOOKUP($C43,'Finished goods'!$A$5:$Q$27,5,FALSE)</f>
        <v>75</v>
      </c>
      <c r="H43" s="8">
        <f>VLOOKUP($C43,'Finished goods'!$A$5:$Q$27,6,FALSE)</f>
        <v>8.1557296000000004E-4</v>
      </c>
      <c r="I43" s="9">
        <f>VLOOKUP($C43,'Finished goods'!$A$5:$Q$27,7,FALSE)</f>
        <v>2.2654804444444445</v>
      </c>
      <c r="J43" s="9">
        <f>VLOOKUP($C43,'Finished goods'!$A$5:$Q$27,8,FALSE)</f>
        <v>2.0389324000000002</v>
      </c>
      <c r="R43" s="23">
        <v>6</v>
      </c>
      <c r="S43" s="6">
        <f t="shared" si="18"/>
        <v>450</v>
      </c>
      <c r="T43" s="6">
        <f t="shared" si="19"/>
        <v>13.592882666666668</v>
      </c>
      <c r="U43" s="4">
        <f t="shared" si="21"/>
        <v>12.233594400000001</v>
      </c>
      <c r="V43" s="16">
        <f>+S43*$M$3/'COST DATA'!$D$26</f>
        <v>3.8079532454339997</v>
      </c>
      <c r="W43" s="16">
        <f t="shared" si="22"/>
        <v>8.3053872381600002E-2</v>
      </c>
      <c r="X43" s="27">
        <f t="shared" si="23"/>
        <v>70.875000000000014</v>
      </c>
      <c r="Y43" s="27">
        <f t="shared" si="24"/>
        <v>26.496138996138995</v>
      </c>
      <c r="Z43" s="4">
        <f>+(S43/$S$3)*('Finished goods'!$Q$3*'Project Ostelliere'!$S$1)</f>
        <v>1.1950485117857144</v>
      </c>
      <c r="AA43" s="4">
        <f>+'Finished goods'!$O$3*'Project Ostelliere'!T43</f>
        <v>1.5757045309769298</v>
      </c>
      <c r="AB43" s="4">
        <f>+'Finished goods'!P$11*R43</f>
        <v>144</v>
      </c>
      <c r="AC43" s="7">
        <f t="shared" si="25"/>
        <v>248.03289915671726</v>
      </c>
    </row>
    <row r="44" spans="1:29" x14ac:dyDescent="0.3">
      <c r="A44" s="243"/>
      <c r="B44" s="21" t="s">
        <v>122</v>
      </c>
      <c r="C44" s="4" t="str">
        <f t="shared" si="20"/>
        <v>Vaso Logo</v>
      </c>
      <c r="D44" s="5">
        <f>VLOOKUP($C44,'Finished goods'!$A$5:$Q$27,2,FALSE)</f>
        <v>5</v>
      </c>
      <c r="E44" s="5">
        <f>VLOOKUP($C44,'Finished goods'!$A$5:$Q$27,3,FALSE)</f>
        <v>10</v>
      </c>
      <c r="F44" s="5">
        <f>VLOOKUP($C44,'Finished goods'!$A$5:$Q$27,4,FALSE)</f>
        <v>0.39</v>
      </c>
      <c r="G44" s="5">
        <f>VLOOKUP($C44,'Finished goods'!$A$5:$Q$27,5,FALSE)</f>
        <v>39</v>
      </c>
      <c r="H44" s="8">
        <f>VLOOKUP($C44,'Finished goods'!$A$5:$Q$27,6,FALSE)</f>
        <v>1.1639584900000001E-3</v>
      </c>
      <c r="I44" s="9">
        <f>VLOOKUP($C44,'Finished goods'!$A$5:$Q$27,7,FALSE)</f>
        <v>3.2332180277777778</v>
      </c>
      <c r="J44" s="9">
        <f>VLOOKUP($C44,'Finished goods'!$A$5:$Q$27,8,FALSE)</f>
        <v>2.9098962250000002</v>
      </c>
      <c r="R44" s="23">
        <v>3</v>
      </c>
      <c r="S44" s="6">
        <f t="shared" si="18"/>
        <v>117</v>
      </c>
      <c r="T44" s="6">
        <f t="shared" si="19"/>
        <v>9.6996540833333338</v>
      </c>
      <c r="U44" s="4">
        <f t="shared" si="21"/>
        <v>8.7296886750000002</v>
      </c>
      <c r="V44" s="16">
        <f>+S44*$M$3/'COST DATA'!$D$26</f>
        <v>0.99006784381283996</v>
      </c>
      <c r="W44" s="16">
        <f t="shared" si="22"/>
        <v>5.9265856414574998E-2</v>
      </c>
      <c r="X44" s="27">
        <f t="shared" si="23"/>
        <v>18.427500000000002</v>
      </c>
      <c r="Y44" s="27">
        <f t="shared" si="24"/>
        <v>6.8889961389961387</v>
      </c>
      <c r="Z44" s="4">
        <f>+(S44/$S$3)*('Finished goods'!$Q$3*'Project Ostelliere'!$S$1)</f>
        <v>0.31071261306428571</v>
      </c>
      <c r="AA44" s="4">
        <f>+'Finished goods'!$O$3*'Project Ostelliere'!T44</f>
        <v>1.1243964406091058</v>
      </c>
      <c r="AB44" s="4"/>
      <c r="AC44" s="7">
        <f t="shared" si="25"/>
        <v>27.800938892896948</v>
      </c>
    </row>
    <row r="45" spans="1:29" x14ac:dyDescent="0.3">
      <c r="A45" s="243"/>
      <c r="B45" s="21" t="s">
        <v>122</v>
      </c>
      <c r="C45" s="4" t="str">
        <f t="shared" si="20"/>
        <v>Copri candela</v>
      </c>
      <c r="D45" s="5">
        <f>VLOOKUP($C45,'Finished goods'!$A$5:$Q$27,2,FALSE)</f>
        <v>4</v>
      </c>
      <c r="E45" s="5">
        <f>VLOOKUP($C45,'Finished goods'!$A$5:$Q$27,3,FALSE)</f>
        <v>5</v>
      </c>
      <c r="F45" s="5">
        <f>VLOOKUP($C45,'Finished goods'!$A$5:$Q$27,4,FALSE)</f>
        <v>0.34</v>
      </c>
      <c r="G45" s="5">
        <f>VLOOKUP($C45,'Finished goods'!$A$5:$Q$27,5,FALSE)</f>
        <v>34</v>
      </c>
      <c r="H45" s="8">
        <f>VLOOKUP($C45,'Finished goods'!$A$5:$Q$27,6,FALSE)</f>
        <v>2.3780405299999999E-4</v>
      </c>
      <c r="I45" s="9">
        <f>VLOOKUP($C45,'Finished goods'!$A$5:$Q$27,7,FALSE)</f>
        <v>0.66056681388888883</v>
      </c>
      <c r="J45" s="9">
        <f>VLOOKUP($C45,'Finished goods'!$A$5:$Q$27,8,FALSE)</f>
        <v>0.59451013249999995</v>
      </c>
      <c r="R45" s="23">
        <v>15</v>
      </c>
      <c r="S45" s="6">
        <f t="shared" si="18"/>
        <v>510</v>
      </c>
      <c r="T45" s="6">
        <f t="shared" si="19"/>
        <v>9.9085022083333332</v>
      </c>
      <c r="U45" s="4">
        <f t="shared" si="21"/>
        <v>8.9176519874999993</v>
      </c>
      <c r="V45" s="16">
        <f>+S45*$M$3/'COST DATA'!$D$26</f>
        <v>4.3156803448251999</v>
      </c>
      <c r="W45" s="16">
        <f t="shared" si="22"/>
        <v>6.0541939343137494E-2</v>
      </c>
      <c r="X45" s="27">
        <f t="shared" si="23"/>
        <v>80.325000000000017</v>
      </c>
      <c r="Y45" s="27">
        <f t="shared" si="24"/>
        <v>30.02895752895753</v>
      </c>
      <c r="Z45" s="4">
        <f>+(S45/$S$3)*('Finished goods'!$Q$3*'Project Ostelliere'!$S$1)</f>
        <v>1.3543883133571428</v>
      </c>
      <c r="AA45" s="4">
        <f>+'Finished goods'!$O$3*'Project Ostelliere'!T45</f>
        <v>1.1486063852484083</v>
      </c>
      <c r="AB45" s="4"/>
      <c r="AC45" s="7">
        <f t="shared" si="25"/>
        <v>117.23317451173145</v>
      </c>
    </row>
    <row r="46" spans="1:29" x14ac:dyDescent="0.3">
      <c r="A46" s="244"/>
      <c r="B46" s="21" t="s">
        <v>122</v>
      </c>
      <c r="C46" s="4" t="str">
        <f t="shared" si="20"/>
        <v xml:space="preserve">Vaso Grosso </v>
      </c>
      <c r="D46" s="5">
        <f>VLOOKUP($C46,'Finished goods'!$A$5:$Q$27,2,FALSE)</f>
        <v>4</v>
      </c>
      <c r="E46" s="5">
        <f>VLOOKUP($C46,'Finished goods'!$A$5:$Q$27,3,FALSE)</f>
        <v>5</v>
      </c>
      <c r="F46" s="5">
        <f>VLOOKUP($C46,'Finished goods'!$A$5:$Q$27,4,FALSE)</f>
        <v>1.31</v>
      </c>
      <c r="G46" s="5">
        <f>VLOOKUP($C46,'Finished goods'!$A$5:$Q$27,5,FALSE)</f>
        <v>91</v>
      </c>
      <c r="H46" s="8">
        <f>VLOOKUP($C46,'Finished goods'!$A$5:$Q$27,6,FALSE)</f>
        <v>9.52764444E-4</v>
      </c>
      <c r="I46" s="9">
        <f>VLOOKUP($C46,'Finished goods'!$A$5:$Q$27,7,FALSE)</f>
        <v>2.6465679</v>
      </c>
      <c r="J46" s="9">
        <f>VLOOKUP($C46,'Finished goods'!$A$5:$Q$27,8,FALSE)</f>
        <v>2.3819111099999999</v>
      </c>
      <c r="R46" s="23">
        <v>2</v>
      </c>
      <c r="S46" s="6">
        <f t="shared" si="18"/>
        <v>182</v>
      </c>
      <c r="T46" s="6">
        <f t="shared" si="19"/>
        <v>5.2931357999999999</v>
      </c>
      <c r="U46" s="4">
        <f t="shared" si="21"/>
        <v>4.7638222199999998</v>
      </c>
      <c r="V46" s="16">
        <f>+S46*$M$3/'COST DATA'!$D$26</f>
        <v>1.5401055348199733</v>
      </c>
      <c r="W46" s="16">
        <f t="shared" si="22"/>
        <v>3.2341589051580001E-2</v>
      </c>
      <c r="X46" s="27">
        <f t="shared" si="23"/>
        <v>28.665000000000006</v>
      </c>
      <c r="Y46" s="27">
        <f t="shared" si="24"/>
        <v>10.716216216216216</v>
      </c>
      <c r="Z46" s="4">
        <f>+(S46/$S$3)*('Finished goods'!$Q$3*'Project Ostelliere'!$S$1)</f>
        <v>0.48333073143333333</v>
      </c>
      <c r="AA46" s="4">
        <f>+'Finished goods'!$O$3*'Project Ostelliere'!T46</f>
        <v>0.61358714465983732</v>
      </c>
      <c r="AB46" s="4"/>
      <c r="AC46" s="7">
        <f t="shared" si="25"/>
        <v>42.050581216180944</v>
      </c>
    </row>
    <row r="49" spans="1:29" ht="18" x14ac:dyDescent="0.35">
      <c r="D49" s="237" t="s">
        <v>40</v>
      </c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4" t="s">
        <v>32</v>
      </c>
      <c r="S49" s="47">
        <f>+S51/60/7</f>
        <v>8.2238095238095248</v>
      </c>
      <c r="T49" t="s">
        <v>83</v>
      </c>
    </row>
    <row r="50" spans="1:29" x14ac:dyDescent="0.3">
      <c r="D50" s="236" t="s">
        <v>33</v>
      </c>
      <c r="E50" s="236"/>
      <c r="F50" s="236"/>
      <c r="G50" s="236"/>
      <c r="H50" s="236"/>
      <c r="I50" s="236"/>
      <c r="J50" s="236"/>
      <c r="M50" s="236" t="s">
        <v>36</v>
      </c>
      <c r="N50" s="236"/>
      <c r="O50" s="236"/>
      <c r="P50" s="236"/>
      <c r="Q50" s="236"/>
      <c r="V50" s="241" t="s">
        <v>41</v>
      </c>
      <c r="W50" s="241"/>
      <c r="X50" s="241"/>
      <c r="Y50" s="241"/>
      <c r="Z50" s="241"/>
      <c r="AA50" s="241"/>
      <c r="AB50" s="241"/>
      <c r="AC50" s="241"/>
    </row>
    <row r="51" spans="1:29" ht="18" x14ac:dyDescent="0.35">
      <c r="F51" s="225" t="s">
        <v>44</v>
      </c>
      <c r="G51" s="225"/>
      <c r="I51" s="20">
        <f>SUBTOTAL(9,I53:I62)</f>
        <v>51.856758661111115</v>
      </c>
      <c r="J51" s="20">
        <f>SUBTOTAL(9,J53:J62)</f>
        <v>46.67108279499999</v>
      </c>
      <c r="K51" s="1">
        <f>+'Finished goods'!$I$3</f>
        <v>2500</v>
      </c>
      <c r="L51" s="1">
        <f>+'Finished goods'!$J$3</f>
        <v>0.9</v>
      </c>
      <c r="M51" s="15">
        <f>+'Finished goods'!$K$3</f>
        <v>0.50772709939119998</v>
      </c>
      <c r="N51" s="15">
        <f>+'Finished goods'!$L$3</f>
        <v>6.7889999999999999E-3</v>
      </c>
      <c r="O51" s="13">
        <f>+'Finished goods'!$M$3</f>
        <v>0.15750000000000003</v>
      </c>
      <c r="P51" s="46">
        <f>+'Finished goods'!$N$3</f>
        <v>5.8880308880308881E-2</v>
      </c>
      <c r="Q51" s="1"/>
      <c r="S51" s="17">
        <f t="shared" ref="S51:AC51" si="26">SUBTOTAL(9,S53:S62)</f>
        <v>3454</v>
      </c>
      <c r="T51" s="17">
        <f t="shared" si="26"/>
        <v>119.7720534861111</v>
      </c>
      <c r="U51" s="17">
        <f t="shared" si="26"/>
        <v>107.7948481375</v>
      </c>
      <c r="V51" s="18">
        <f t="shared" si="26"/>
        <v>29.228156688286745</v>
      </c>
      <c r="W51" s="18">
        <f t="shared" si="26"/>
        <v>0.73181922400548749</v>
      </c>
      <c r="X51" s="18">
        <f t="shared" si="26"/>
        <v>544.00500000000011</v>
      </c>
      <c r="Y51" s="18">
        <f t="shared" si="26"/>
        <v>203.37258687258691</v>
      </c>
      <c r="Z51" s="18">
        <f t="shared" si="26"/>
        <v>9.1726612437952397</v>
      </c>
      <c r="AA51" s="18">
        <f t="shared" si="26"/>
        <v>13.884131275941989</v>
      </c>
      <c r="AB51" s="18">
        <f t="shared" si="26"/>
        <v>468</v>
      </c>
      <c r="AC51" s="19">
        <f t="shared" si="26"/>
        <v>1268.3943553046165</v>
      </c>
    </row>
    <row r="52" spans="1:29" x14ac:dyDescent="0.3">
      <c r="A52" s="1" t="s">
        <v>145</v>
      </c>
      <c r="B52" s="1" t="s">
        <v>30</v>
      </c>
      <c r="C52" s="1" t="s">
        <v>0</v>
      </c>
      <c r="D52" s="1" t="s">
        <v>4</v>
      </c>
      <c r="E52" s="1" t="s">
        <v>5</v>
      </c>
      <c r="F52" s="1" t="s">
        <v>45</v>
      </c>
      <c r="G52" s="1" t="s">
        <v>57</v>
      </c>
      <c r="H52" s="1" t="s">
        <v>6</v>
      </c>
      <c r="I52" s="1" t="s">
        <v>2</v>
      </c>
      <c r="J52" s="1" t="s">
        <v>7</v>
      </c>
      <c r="K52" s="1" t="s">
        <v>31</v>
      </c>
      <c r="L52" s="1" t="s">
        <v>8</v>
      </c>
      <c r="M52" s="1" t="s">
        <v>34</v>
      </c>
      <c r="N52" s="1" t="s">
        <v>35</v>
      </c>
      <c r="O52" s="1" t="s">
        <v>37</v>
      </c>
      <c r="P52" s="1" t="s">
        <v>79</v>
      </c>
      <c r="Q52" s="1" t="s">
        <v>38</v>
      </c>
      <c r="R52" s="1" t="s">
        <v>39</v>
      </c>
      <c r="S52" s="2" t="s">
        <v>43</v>
      </c>
      <c r="T52" s="2" t="s">
        <v>2</v>
      </c>
      <c r="U52" s="2" t="s">
        <v>7</v>
      </c>
      <c r="V52" s="2">
        <f>+'Finished goods'!K52</f>
        <v>0</v>
      </c>
      <c r="W52" s="2">
        <f>+'Finished goods'!L52</f>
        <v>0</v>
      </c>
      <c r="X52" s="2">
        <f>+'Finished goods'!M52</f>
        <v>0</v>
      </c>
      <c r="Y52" s="2">
        <f>+'Finished goods'!N52</f>
        <v>0</v>
      </c>
      <c r="Z52" s="2">
        <f>+'Finished goods'!Q52</f>
        <v>0</v>
      </c>
      <c r="AA52" s="3" t="s">
        <v>111</v>
      </c>
      <c r="AB52" s="3" t="s">
        <v>115</v>
      </c>
      <c r="AC52" s="3" t="s">
        <v>42</v>
      </c>
    </row>
    <row r="53" spans="1:29" ht="14.4" customHeight="1" x14ac:dyDescent="0.3">
      <c r="A53" s="242" t="s">
        <v>414</v>
      </c>
      <c r="B53" s="21" t="s">
        <v>122</v>
      </c>
      <c r="C53" s="4" t="str">
        <f>+C37</f>
        <v>Tavolo twist Logo</v>
      </c>
      <c r="D53" s="5">
        <f>VLOOKUP($C53,'Finished goods'!$A$5:$Q$27,2,FALSE)</f>
        <v>8</v>
      </c>
      <c r="E53" s="5">
        <f>VLOOKUP($C53,'Finished goods'!$A$5:$Q$27,3,FALSE)</f>
        <v>10</v>
      </c>
      <c r="F53" s="5">
        <f>VLOOKUP($C53,'Finished goods'!$A$5:$Q$27,4,FALSE)</f>
        <v>1.22</v>
      </c>
      <c r="G53" s="5">
        <f>VLOOKUP($C53,'Finished goods'!$A$5:$Q$27,5,FALSE)</f>
        <v>82</v>
      </c>
      <c r="H53" s="8">
        <f>VLOOKUP($C53,'Finished goods'!$A$5:$Q$27,6,FALSE)</f>
        <v>7.9769999999999997E-3</v>
      </c>
      <c r="I53" s="9">
        <f>VLOOKUP($C53,'Finished goods'!$A$5:$Q$27,7,FALSE)</f>
        <v>22.158333333333331</v>
      </c>
      <c r="J53" s="9">
        <f>VLOOKUP($C53,'Finished goods'!$A$5:$Q$27,8,FALSE)</f>
        <v>19.942499999999999</v>
      </c>
      <c r="R53" s="23">
        <v>2</v>
      </c>
      <c r="S53" s="6">
        <f t="shared" ref="S53:S62" si="27">+G53*$R53</f>
        <v>164</v>
      </c>
      <c r="T53" s="6">
        <f t="shared" ref="T53:T62" si="28">+I53*$R53</f>
        <v>44.316666666666663</v>
      </c>
      <c r="U53" s="4">
        <f>+J53*$R53</f>
        <v>39.884999999999998</v>
      </c>
      <c r="V53" s="16">
        <f>+S53*$M$3/'COST DATA'!$D$26</f>
        <v>1.3877874050026131</v>
      </c>
      <c r="W53" s="16">
        <f>+U53*$N$3</f>
        <v>0.27077926499999999</v>
      </c>
      <c r="X53" s="27">
        <f>+S53*$O$3</f>
        <v>25.830000000000005</v>
      </c>
      <c r="Y53" s="27">
        <f>+S53*$P$3</f>
        <v>9.6563706563706564</v>
      </c>
      <c r="Z53" s="4">
        <f>+(S53/$S$3)*('Finished goods'!$Q$3*'Project Ostelliere'!$S$1)</f>
        <v>0.43552879096190478</v>
      </c>
      <c r="AA53" s="4">
        <f>+'Finished goods'!$O$3*'Project Ostelliere'!T53</f>
        <v>5.1372452905594805</v>
      </c>
      <c r="AB53" s="4">
        <f>+'Finished goods'!P$5*R53</f>
        <v>300</v>
      </c>
      <c r="AC53" s="7">
        <f>+V53+W53+X53+Y53+Z53+AA53+AB53</f>
        <v>342.71771140789463</v>
      </c>
    </row>
    <row r="54" spans="1:29" x14ac:dyDescent="0.3">
      <c r="A54" s="243"/>
      <c r="B54" s="21" t="s">
        <v>122</v>
      </c>
      <c r="C54" s="4" t="str">
        <f t="shared" ref="C54:C62" si="29">+C38</f>
        <v xml:space="preserve">Vaso bitorzolo curvo </v>
      </c>
      <c r="D54" s="5">
        <f>VLOOKUP($C54,'Finished goods'!$A$5:$Q$27,2,FALSE)</f>
        <v>4</v>
      </c>
      <c r="E54" s="5">
        <f>VLOOKUP($C54,'Finished goods'!$A$5:$Q$27,3,FALSE)</f>
        <v>2</v>
      </c>
      <c r="F54" s="5">
        <f>VLOOKUP($C54,'Finished goods'!$A$5:$Q$27,4,FALSE)</f>
        <v>5.21</v>
      </c>
      <c r="G54" s="5">
        <f>VLOOKUP($C54,'Finished goods'!$A$5:$Q$27,5,FALSE)</f>
        <v>321</v>
      </c>
      <c r="H54" s="8">
        <f>VLOOKUP($C54,'Finished goods'!$A$5:$Q$27,6,FALSE)</f>
        <v>6.0029599999999995E-4</v>
      </c>
      <c r="I54" s="9">
        <f>VLOOKUP($C54,'Finished goods'!$A$5:$Q$27,7,FALSE)</f>
        <v>1.6674888888888888</v>
      </c>
      <c r="J54" s="9">
        <f>VLOOKUP($C54,'Finished goods'!$A$5:$Q$27,8,FALSE)</f>
        <v>1.50074</v>
      </c>
      <c r="R54" s="23">
        <v>2</v>
      </c>
      <c r="S54" s="6">
        <f t="shared" si="27"/>
        <v>642</v>
      </c>
      <c r="T54" s="6">
        <f t="shared" si="28"/>
        <v>3.3349777777777776</v>
      </c>
      <c r="U54" s="4">
        <f t="shared" ref="U54:U62" si="30">+J54*$R54</f>
        <v>3.0014799999999999</v>
      </c>
      <c r="V54" s="16">
        <f>+S54*$M$3/'COST DATA'!$D$26</f>
        <v>5.4326799634858398</v>
      </c>
      <c r="W54" s="16">
        <f t="shared" ref="W54:W62" si="31">+U54*$N$3</f>
        <v>2.0377047719999999E-2</v>
      </c>
      <c r="X54" s="27">
        <f t="shared" ref="X54:X62" si="32">+S54*$O$3</f>
        <v>101.11500000000002</v>
      </c>
      <c r="Y54" s="27">
        <f t="shared" ref="Y54:Y62" si="33">+S54*$P$3</f>
        <v>37.801158301158303</v>
      </c>
      <c r="Z54" s="4">
        <f>+(S54/$S$3)*('Finished goods'!$Q$3*'Project Ostelliere'!$S$1)</f>
        <v>1.7049358768142857</v>
      </c>
      <c r="AA54" s="4">
        <f>+'Finished goods'!$O$3*'Project Ostelliere'!T54</f>
        <v>0.38659493530671857</v>
      </c>
      <c r="AB54" s="4"/>
      <c r="AC54" s="7">
        <f t="shared" ref="AC54:AC62" si="34">+V54+W54+X54+Y54+Z54+AA54+AB54</f>
        <v>146.46074612448518</v>
      </c>
    </row>
    <row r="55" spans="1:29" x14ac:dyDescent="0.3">
      <c r="A55" s="243"/>
      <c r="B55" s="21" t="s">
        <v>122</v>
      </c>
      <c r="C55" s="4" t="str">
        <f t="shared" si="29"/>
        <v>Vaso bitorzolo twist</v>
      </c>
      <c r="D55" s="5">
        <f>VLOOKUP($C55,'Finished goods'!$A$5:$Q$27,2,FALSE)</f>
        <v>4</v>
      </c>
      <c r="E55" s="5">
        <f>VLOOKUP($C55,'Finished goods'!$A$5:$Q$27,3,FALSE)</f>
        <v>2</v>
      </c>
      <c r="F55" s="5">
        <f>VLOOKUP($C55,'Finished goods'!$A$5:$Q$27,4,FALSE)</f>
        <v>5.15</v>
      </c>
      <c r="G55" s="5">
        <f>VLOOKUP($C55,'Finished goods'!$A$5:$Q$27,5,FALSE)</f>
        <v>315</v>
      </c>
      <c r="H55" s="8">
        <f>VLOOKUP($C55,'Finished goods'!$A$5:$Q$27,6,FALSE)</f>
        <v>8.005105E-4</v>
      </c>
      <c r="I55" s="9">
        <f>VLOOKUP($C55,'Finished goods'!$A$5:$Q$27,7,FALSE)</f>
        <v>2.2236402777777777</v>
      </c>
      <c r="J55" s="9">
        <f>VLOOKUP($C55,'Finished goods'!$A$5:$Q$27,8,FALSE)</f>
        <v>2.0012762500000001</v>
      </c>
      <c r="R55" s="23">
        <v>2</v>
      </c>
      <c r="S55" s="6">
        <f t="shared" si="27"/>
        <v>630</v>
      </c>
      <c r="T55" s="6">
        <f t="shared" si="28"/>
        <v>4.4472805555555555</v>
      </c>
      <c r="U55" s="4">
        <f t="shared" si="30"/>
        <v>4.0025525000000002</v>
      </c>
      <c r="V55" s="16">
        <f>+S55*$M$3/'COST DATA'!$D$26</f>
        <v>5.3311345436076003</v>
      </c>
      <c r="W55" s="16">
        <f t="shared" si="31"/>
        <v>2.71733289225E-2</v>
      </c>
      <c r="X55" s="27">
        <f t="shared" si="32"/>
        <v>99.225000000000023</v>
      </c>
      <c r="Y55" s="27">
        <f t="shared" si="33"/>
        <v>37.094594594594597</v>
      </c>
      <c r="Z55" s="4">
        <f>+(S55/$S$3)*('Finished goods'!$Q$3*'Project Ostelliere'!$S$1)</f>
        <v>1.6730679165000002</v>
      </c>
      <c r="AA55" s="4">
        <f>+'Finished goods'!$O$3*'Project Ostelliere'!T55</f>
        <v>0.51553451124086935</v>
      </c>
      <c r="AB55" s="4"/>
      <c r="AC55" s="7">
        <f t="shared" si="34"/>
        <v>143.86650489486561</v>
      </c>
    </row>
    <row r="56" spans="1:29" x14ac:dyDescent="0.3">
      <c r="A56" s="243"/>
      <c r="B56" s="21" t="s">
        <v>122</v>
      </c>
      <c r="C56" s="4" t="str">
        <f t="shared" si="29"/>
        <v>Vaso bitorzolo dritto</v>
      </c>
      <c r="D56" s="5">
        <f>VLOOKUP($C56,'Finished goods'!$A$5:$Q$27,2,FALSE)</f>
        <v>4</v>
      </c>
      <c r="E56" s="5">
        <f>VLOOKUP($C56,'Finished goods'!$A$5:$Q$27,3,FALSE)</f>
        <v>2</v>
      </c>
      <c r="F56" s="5">
        <f>VLOOKUP($C56,'Finished goods'!$A$5:$Q$27,4,FALSE)</f>
        <v>4.4800000000000004</v>
      </c>
      <c r="G56" s="5">
        <f>VLOOKUP($C56,'Finished goods'!$A$5:$Q$27,5,FALSE)</f>
        <v>288</v>
      </c>
      <c r="H56" s="8">
        <f>VLOOKUP($C56,'Finished goods'!$A$5:$Q$27,6,FALSE)</f>
        <v>8.2321687099999998E-4</v>
      </c>
      <c r="I56" s="9">
        <f>VLOOKUP($C56,'Finished goods'!$A$5:$Q$27,7,FALSE)</f>
        <v>2.2867135305555553</v>
      </c>
      <c r="J56" s="9">
        <f>VLOOKUP($C56,'Finished goods'!$A$5:$Q$27,8,FALSE)</f>
        <v>2.0580421775</v>
      </c>
      <c r="R56" s="23">
        <v>2</v>
      </c>
      <c r="S56" s="6">
        <f t="shared" si="27"/>
        <v>576</v>
      </c>
      <c r="T56" s="6">
        <f t="shared" si="28"/>
        <v>4.5734270611111105</v>
      </c>
      <c r="U56" s="4">
        <f t="shared" si="30"/>
        <v>4.1160843549999999</v>
      </c>
      <c r="V56" s="16">
        <f>+S56*$M$3/'COST DATA'!$D$26</f>
        <v>4.8741801541555203</v>
      </c>
      <c r="W56" s="16">
        <f t="shared" si="31"/>
        <v>2.7944096686094998E-2</v>
      </c>
      <c r="X56" s="27">
        <f t="shared" si="32"/>
        <v>90.720000000000013</v>
      </c>
      <c r="Y56" s="27">
        <f t="shared" si="33"/>
        <v>33.915057915057915</v>
      </c>
      <c r="Z56" s="4">
        <f>+(S56/$S$3)*('Finished goods'!$Q$3*'Project Ostelliere'!$S$1)</f>
        <v>1.5296620950857143</v>
      </c>
      <c r="AA56" s="4">
        <f>+'Finished goods'!$O$3*'Project Ostelliere'!T56</f>
        <v>0.53015757724130141</v>
      </c>
      <c r="AB56" s="4"/>
      <c r="AC56" s="7">
        <f t="shared" si="34"/>
        <v>131.59700183822656</v>
      </c>
    </row>
    <row r="57" spans="1:29" x14ac:dyDescent="0.3">
      <c r="A57" s="243"/>
      <c r="B57" s="21" t="s">
        <v>122</v>
      </c>
      <c r="C57" s="4" t="str">
        <f t="shared" si="29"/>
        <v>Porta riviste</v>
      </c>
      <c r="D57" s="5">
        <f>VLOOKUP($C57,'Finished goods'!$A$5:$Q$27,2,FALSE)</f>
        <v>10</v>
      </c>
      <c r="E57" s="5">
        <f>VLOOKUP($C57,'Finished goods'!$A$5:$Q$27,3,FALSE)</f>
        <v>10</v>
      </c>
      <c r="F57" s="5">
        <f>VLOOKUP($C57,'Finished goods'!$A$5:$Q$27,4,FALSE)</f>
        <v>0.42</v>
      </c>
      <c r="G57" s="5">
        <f>VLOOKUP($C57,'Finished goods'!$A$5:$Q$27,5,FALSE)</f>
        <v>42</v>
      </c>
      <c r="H57" s="8">
        <f>VLOOKUP($C57,'Finished goods'!$A$5:$Q$27,6,FALSE)</f>
        <v>3.5606798E-3</v>
      </c>
      <c r="I57" s="9">
        <f>VLOOKUP($C57,'Finished goods'!$A$5:$Q$27,7,FALSE)</f>
        <v>9.890777222222221</v>
      </c>
      <c r="J57" s="9">
        <f>VLOOKUP($C57,'Finished goods'!$A$5:$Q$27,8,FALSE)</f>
        <v>8.9016994999999994</v>
      </c>
      <c r="R57" s="23">
        <v>2</v>
      </c>
      <c r="S57" s="6">
        <f t="shared" si="27"/>
        <v>84</v>
      </c>
      <c r="T57" s="6">
        <f t="shared" si="28"/>
        <v>19.781554444444442</v>
      </c>
      <c r="U57" s="4">
        <f t="shared" si="30"/>
        <v>17.803398999999999</v>
      </c>
      <c r="V57" s="16">
        <f>+S57*$M$3/'COST DATA'!$D$26</f>
        <v>0.71081793914767988</v>
      </c>
      <c r="W57" s="16">
        <f t="shared" si="31"/>
        <v>0.12086727581099999</v>
      </c>
      <c r="X57" s="27">
        <f t="shared" si="32"/>
        <v>13.230000000000002</v>
      </c>
      <c r="Y57" s="27">
        <f t="shared" si="33"/>
        <v>4.9459459459459456</v>
      </c>
      <c r="Z57" s="4">
        <f>+(S57/$S$3)*('Finished goods'!$Q$3*'Project Ostelliere'!$S$1)</f>
        <v>0.22307572219999999</v>
      </c>
      <c r="AA57" s="4">
        <f>+'Finished goods'!$O$3*'Project Ostelliere'!T57</f>
        <v>2.2931033638887142</v>
      </c>
      <c r="AB57" s="4"/>
      <c r="AC57" s="7">
        <f t="shared" si="34"/>
        <v>21.523810246993346</v>
      </c>
    </row>
    <row r="58" spans="1:29" x14ac:dyDescent="0.3">
      <c r="A58" s="243"/>
      <c r="B58" s="21" t="s">
        <v>122</v>
      </c>
      <c r="C58" s="4" t="str">
        <f t="shared" si="29"/>
        <v>Lampada 90 grossa</v>
      </c>
      <c r="D58" s="5">
        <f>VLOOKUP($C58,'Finished goods'!$A$5:$Q$27,2,FALSE)</f>
        <v>8</v>
      </c>
      <c r="E58" s="5">
        <f>VLOOKUP($C58,'Finished goods'!$A$5:$Q$27,3,FALSE)</f>
        <v>10</v>
      </c>
      <c r="F58" s="5">
        <f>VLOOKUP($C58,'Finished goods'!$A$5:$Q$27,4,FALSE)</f>
        <v>1.39</v>
      </c>
      <c r="G58" s="5">
        <f>VLOOKUP($C58,'Finished goods'!$A$5:$Q$27,5,FALSE)</f>
        <v>99</v>
      </c>
      <c r="H58" s="8">
        <f>VLOOKUP($C58,'Finished goods'!$A$5:$Q$27,6,FALSE)</f>
        <v>1.7366300000000001E-3</v>
      </c>
      <c r="I58" s="9">
        <f>VLOOKUP($C58,'Finished goods'!$A$5:$Q$27,7,FALSE)</f>
        <v>4.8239722222222232</v>
      </c>
      <c r="J58" s="9">
        <f>VLOOKUP($C58,'Finished goods'!$A$5:$Q$27,8,FALSE)</f>
        <v>4.3415750000000006</v>
      </c>
      <c r="R58" s="23">
        <v>1</v>
      </c>
      <c r="S58" s="6">
        <f t="shared" si="27"/>
        <v>99</v>
      </c>
      <c r="T58" s="6">
        <f t="shared" si="28"/>
        <v>4.8239722222222232</v>
      </c>
      <c r="U58" s="4">
        <f t="shared" si="30"/>
        <v>4.3415750000000006</v>
      </c>
      <c r="V58" s="16">
        <f>+S58*$M$3/'COST DATA'!$D$26</f>
        <v>0.83774971399547993</v>
      </c>
      <c r="W58" s="16">
        <f t="shared" si="31"/>
        <v>2.9474952675000003E-2</v>
      </c>
      <c r="X58" s="27">
        <f t="shared" si="32"/>
        <v>15.592500000000003</v>
      </c>
      <c r="Y58" s="27">
        <f t="shared" si="33"/>
        <v>5.8291505791505793</v>
      </c>
      <c r="Z58" s="4">
        <f>+(S58/$S$3)*('Finished goods'!$Q$3*'Project Ostelliere'!$S$1)</f>
        <v>0.26291067259285716</v>
      </c>
      <c r="AA58" s="4">
        <f>+'Finished goods'!$O$3*'Project Ostelliere'!T58</f>
        <v>0.55920109621062508</v>
      </c>
      <c r="AB58" s="4">
        <f>+'Finished goods'!P$10*R58</f>
        <v>24</v>
      </c>
      <c r="AC58" s="7">
        <f t="shared" si="34"/>
        <v>47.110987014624541</v>
      </c>
    </row>
    <row r="59" spans="1:29" x14ac:dyDescent="0.3">
      <c r="A59" s="243"/>
      <c r="B59" s="21" t="s">
        <v>122</v>
      </c>
      <c r="C59" s="4" t="str">
        <f t="shared" si="29"/>
        <v>Lampada 90 piccola</v>
      </c>
      <c r="D59" s="5">
        <f>VLOOKUP($C59,'Finished goods'!$A$5:$Q$27,2,FALSE)</f>
        <v>5</v>
      </c>
      <c r="E59" s="5">
        <f>VLOOKUP($C59,'Finished goods'!$A$5:$Q$27,3,FALSE)</f>
        <v>10</v>
      </c>
      <c r="F59" s="5">
        <f>VLOOKUP($C59,'Finished goods'!$A$5:$Q$27,4,FALSE)</f>
        <v>1.1499999999999999</v>
      </c>
      <c r="G59" s="5">
        <f>VLOOKUP($C59,'Finished goods'!$A$5:$Q$27,5,FALSE)</f>
        <v>75</v>
      </c>
      <c r="H59" s="8">
        <f>VLOOKUP($C59,'Finished goods'!$A$5:$Q$27,6,FALSE)</f>
        <v>8.1557296000000004E-4</v>
      </c>
      <c r="I59" s="9">
        <f>VLOOKUP($C59,'Finished goods'!$A$5:$Q$27,7,FALSE)</f>
        <v>2.2654804444444445</v>
      </c>
      <c r="J59" s="9">
        <f>VLOOKUP($C59,'Finished goods'!$A$5:$Q$27,8,FALSE)</f>
        <v>2.0389324000000002</v>
      </c>
      <c r="R59" s="23">
        <v>6</v>
      </c>
      <c r="S59" s="6">
        <f t="shared" si="27"/>
        <v>450</v>
      </c>
      <c r="T59" s="6">
        <f t="shared" si="28"/>
        <v>13.592882666666668</v>
      </c>
      <c r="U59" s="4">
        <f t="shared" si="30"/>
        <v>12.233594400000001</v>
      </c>
      <c r="V59" s="16">
        <f>+S59*$M$3/'COST DATA'!$D$26</f>
        <v>3.8079532454339997</v>
      </c>
      <c r="W59" s="16">
        <f t="shared" si="31"/>
        <v>8.3053872381600002E-2</v>
      </c>
      <c r="X59" s="27">
        <f t="shared" si="32"/>
        <v>70.875000000000014</v>
      </c>
      <c r="Y59" s="27">
        <f t="shared" si="33"/>
        <v>26.496138996138995</v>
      </c>
      <c r="Z59" s="4">
        <f>+(S59/$S$3)*('Finished goods'!$Q$3*'Project Ostelliere'!$S$1)</f>
        <v>1.1950485117857144</v>
      </c>
      <c r="AA59" s="4">
        <f>+'Finished goods'!$O$3*'Project Ostelliere'!T59</f>
        <v>1.5757045309769298</v>
      </c>
      <c r="AB59" s="4">
        <f>+'Finished goods'!P$11*R59</f>
        <v>144</v>
      </c>
      <c r="AC59" s="7">
        <f t="shared" si="34"/>
        <v>248.03289915671726</v>
      </c>
    </row>
    <row r="60" spans="1:29" x14ac:dyDescent="0.3">
      <c r="A60" s="243"/>
      <c r="B60" s="21" t="s">
        <v>122</v>
      </c>
      <c r="C60" s="4" t="str">
        <f t="shared" si="29"/>
        <v>Vaso Logo</v>
      </c>
      <c r="D60" s="5">
        <f>VLOOKUP($C60,'Finished goods'!$A$5:$Q$27,2,FALSE)</f>
        <v>5</v>
      </c>
      <c r="E60" s="5">
        <f>VLOOKUP($C60,'Finished goods'!$A$5:$Q$27,3,FALSE)</f>
        <v>10</v>
      </c>
      <c r="F60" s="5">
        <f>VLOOKUP($C60,'Finished goods'!$A$5:$Q$27,4,FALSE)</f>
        <v>0.39</v>
      </c>
      <c r="G60" s="5">
        <f>VLOOKUP($C60,'Finished goods'!$A$5:$Q$27,5,FALSE)</f>
        <v>39</v>
      </c>
      <c r="H60" s="8">
        <f>VLOOKUP($C60,'Finished goods'!$A$5:$Q$27,6,FALSE)</f>
        <v>1.1639584900000001E-3</v>
      </c>
      <c r="I60" s="9">
        <f>VLOOKUP($C60,'Finished goods'!$A$5:$Q$27,7,FALSE)</f>
        <v>3.2332180277777778</v>
      </c>
      <c r="J60" s="9">
        <f>VLOOKUP($C60,'Finished goods'!$A$5:$Q$27,8,FALSE)</f>
        <v>2.9098962250000002</v>
      </c>
      <c r="R60" s="23">
        <v>3</v>
      </c>
      <c r="S60" s="6">
        <f t="shared" si="27"/>
        <v>117</v>
      </c>
      <c r="T60" s="6">
        <f t="shared" si="28"/>
        <v>9.6996540833333338</v>
      </c>
      <c r="U60" s="4">
        <f t="shared" si="30"/>
        <v>8.7296886750000002</v>
      </c>
      <c r="V60" s="16">
        <f>+S60*$M$3/'COST DATA'!$D$26</f>
        <v>0.99006784381283996</v>
      </c>
      <c r="W60" s="16">
        <f t="shared" si="31"/>
        <v>5.9265856414574998E-2</v>
      </c>
      <c r="X60" s="27">
        <f t="shared" si="32"/>
        <v>18.427500000000002</v>
      </c>
      <c r="Y60" s="27">
        <f t="shared" si="33"/>
        <v>6.8889961389961387</v>
      </c>
      <c r="Z60" s="4">
        <f>+(S60/$S$3)*('Finished goods'!$Q$3*'Project Ostelliere'!$S$1)</f>
        <v>0.31071261306428571</v>
      </c>
      <c r="AA60" s="4">
        <f>+'Finished goods'!$O$3*'Project Ostelliere'!T60</f>
        <v>1.1243964406091058</v>
      </c>
      <c r="AB60" s="4"/>
      <c r="AC60" s="7">
        <f t="shared" si="34"/>
        <v>27.800938892896948</v>
      </c>
    </row>
    <row r="61" spans="1:29" x14ac:dyDescent="0.3">
      <c r="A61" s="243"/>
      <c r="B61" s="21" t="s">
        <v>122</v>
      </c>
      <c r="C61" s="4" t="str">
        <f t="shared" si="29"/>
        <v>Copri candela</v>
      </c>
      <c r="D61" s="5">
        <f>VLOOKUP($C61,'Finished goods'!$A$5:$Q$27,2,FALSE)</f>
        <v>4</v>
      </c>
      <c r="E61" s="5">
        <f>VLOOKUP($C61,'Finished goods'!$A$5:$Q$27,3,FALSE)</f>
        <v>5</v>
      </c>
      <c r="F61" s="5">
        <f>VLOOKUP($C61,'Finished goods'!$A$5:$Q$27,4,FALSE)</f>
        <v>0.34</v>
      </c>
      <c r="G61" s="5">
        <f>VLOOKUP($C61,'Finished goods'!$A$5:$Q$27,5,FALSE)</f>
        <v>34</v>
      </c>
      <c r="H61" s="8">
        <f>VLOOKUP($C61,'Finished goods'!$A$5:$Q$27,6,FALSE)</f>
        <v>2.3780405299999999E-4</v>
      </c>
      <c r="I61" s="9">
        <f>VLOOKUP($C61,'Finished goods'!$A$5:$Q$27,7,FALSE)</f>
        <v>0.66056681388888883</v>
      </c>
      <c r="J61" s="9">
        <f>VLOOKUP($C61,'Finished goods'!$A$5:$Q$27,8,FALSE)</f>
        <v>0.59451013249999995</v>
      </c>
      <c r="R61" s="23">
        <v>15</v>
      </c>
      <c r="S61" s="6">
        <f t="shared" si="27"/>
        <v>510</v>
      </c>
      <c r="T61" s="6">
        <f t="shared" si="28"/>
        <v>9.9085022083333332</v>
      </c>
      <c r="U61" s="4">
        <f t="shared" si="30"/>
        <v>8.9176519874999993</v>
      </c>
      <c r="V61" s="16">
        <f>+S61*$M$3/'COST DATA'!$D$26</f>
        <v>4.3156803448251999</v>
      </c>
      <c r="W61" s="16">
        <f t="shared" si="31"/>
        <v>6.0541939343137494E-2</v>
      </c>
      <c r="X61" s="27">
        <f t="shared" si="32"/>
        <v>80.325000000000017</v>
      </c>
      <c r="Y61" s="27">
        <f t="shared" si="33"/>
        <v>30.02895752895753</v>
      </c>
      <c r="Z61" s="4">
        <f>+(S61/$S$3)*('Finished goods'!$Q$3*'Project Ostelliere'!$S$1)</f>
        <v>1.3543883133571428</v>
      </c>
      <c r="AA61" s="4">
        <f>+'Finished goods'!$O$3*'Project Ostelliere'!T61</f>
        <v>1.1486063852484083</v>
      </c>
      <c r="AB61" s="4"/>
      <c r="AC61" s="7">
        <f t="shared" si="34"/>
        <v>117.23317451173145</v>
      </c>
    </row>
    <row r="62" spans="1:29" x14ac:dyDescent="0.3">
      <c r="A62" s="244"/>
      <c r="B62" s="21" t="s">
        <v>122</v>
      </c>
      <c r="C62" s="4" t="str">
        <f t="shared" si="29"/>
        <v xml:space="preserve">Vaso Grosso </v>
      </c>
      <c r="D62" s="5">
        <f>VLOOKUP($C62,'Finished goods'!$A$5:$Q$27,2,FALSE)</f>
        <v>4</v>
      </c>
      <c r="E62" s="5">
        <f>VLOOKUP($C62,'Finished goods'!$A$5:$Q$27,3,FALSE)</f>
        <v>5</v>
      </c>
      <c r="F62" s="5">
        <f>VLOOKUP($C62,'Finished goods'!$A$5:$Q$27,4,FALSE)</f>
        <v>1.31</v>
      </c>
      <c r="G62" s="5">
        <f>VLOOKUP($C62,'Finished goods'!$A$5:$Q$27,5,FALSE)</f>
        <v>91</v>
      </c>
      <c r="H62" s="8">
        <f>VLOOKUP($C62,'Finished goods'!$A$5:$Q$27,6,FALSE)</f>
        <v>9.52764444E-4</v>
      </c>
      <c r="I62" s="9">
        <f>VLOOKUP($C62,'Finished goods'!$A$5:$Q$27,7,FALSE)</f>
        <v>2.6465679</v>
      </c>
      <c r="J62" s="9">
        <f>VLOOKUP($C62,'Finished goods'!$A$5:$Q$27,8,FALSE)</f>
        <v>2.3819111099999999</v>
      </c>
      <c r="R62" s="23">
        <v>2</v>
      </c>
      <c r="S62" s="6">
        <f t="shared" si="27"/>
        <v>182</v>
      </c>
      <c r="T62" s="6">
        <f t="shared" si="28"/>
        <v>5.2931357999999999</v>
      </c>
      <c r="U62" s="4">
        <f t="shared" si="30"/>
        <v>4.7638222199999998</v>
      </c>
      <c r="V62" s="16">
        <f>+S62*$M$3/'COST DATA'!$D$26</f>
        <v>1.5401055348199733</v>
      </c>
      <c r="W62" s="16">
        <f t="shared" si="31"/>
        <v>3.2341589051580001E-2</v>
      </c>
      <c r="X62" s="27">
        <f t="shared" si="32"/>
        <v>28.665000000000006</v>
      </c>
      <c r="Y62" s="27">
        <f t="shared" si="33"/>
        <v>10.716216216216216</v>
      </c>
      <c r="Z62" s="4">
        <f>+(S62/$S$3)*('Finished goods'!$Q$3*'Project Ostelliere'!$S$1)</f>
        <v>0.48333073143333333</v>
      </c>
      <c r="AA62" s="4">
        <f>+'Finished goods'!$O$3*'Project Ostelliere'!T62</f>
        <v>0.61358714465983732</v>
      </c>
      <c r="AB62" s="4"/>
      <c r="AC62" s="7">
        <f t="shared" si="34"/>
        <v>42.050581216180944</v>
      </c>
    </row>
    <row r="65" spans="1:29" ht="18" x14ac:dyDescent="0.35">
      <c r="D65" s="237" t="s">
        <v>40</v>
      </c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4" t="s">
        <v>32</v>
      </c>
      <c r="S65" s="47">
        <f>+S67/60/7</f>
        <v>8.2238095238095248</v>
      </c>
      <c r="T65" t="s">
        <v>83</v>
      </c>
    </row>
    <row r="66" spans="1:29" x14ac:dyDescent="0.3">
      <c r="D66" s="236" t="s">
        <v>33</v>
      </c>
      <c r="E66" s="236"/>
      <c r="F66" s="236"/>
      <c r="G66" s="236"/>
      <c r="H66" s="236"/>
      <c r="I66" s="236"/>
      <c r="J66" s="236"/>
      <c r="M66" s="236" t="s">
        <v>36</v>
      </c>
      <c r="N66" s="236"/>
      <c r="O66" s="236"/>
      <c r="P66" s="236"/>
      <c r="Q66" s="236"/>
      <c r="V66" s="241" t="s">
        <v>41</v>
      </c>
      <c r="W66" s="241"/>
      <c r="X66" s="241"/>
      <c r="Y66" s="241"/>
      <c r="Z66" s="241"/>
      <c r="AA66" s="241"/>
      <c r="AB66" s="241"/>
      <c r="AC66" s="241"/>
    </row>
    <row r="67" spans="1:29" ht="18" x14ac:dyDescent="0.35">
      <c r="F67" s="225" t="s">
        <v>44</v>
      </c>
      <c r="G67" s="225"/>
      <c r="I67" s="20">
        <f>SUBTOTAL(9,I69:I78)</f>
        <v>51.856758661111115</v>
      </c>
      <c r="J67" s="20">
        <f>SUBTOTAL(9,J69:J78)</f>
        <v>46.67108279499999</v>
      </c>
      <c r="K67" s="1">
        <f>+'Finished goods'!$I$3</f>
        <v>2500</v>
      </c>
      <c r="L67" s="1">
        <f>+'Finished goods'!$J$3</f>
        <v>0.9</v>
      </c>
      <c r="M67" s="15">
        <f>+'Finished goods'!$K$3</f>
        <v>0.50772709939119998</v>
      </c>
      <c r="N67" s="15">
        <f>+'Finished goods'!$L$3</f>
        <v>6.7889999999999999E-3</v>
      </c>
      <c r="O67" s="13">
        <f>+'Finished goods'!$M$3</f>
        <v>0.15750000000000003</v>
      </c>
      <c r="P67" s="46">
        <f>+'Finished goods'!$N$3</f>
        <v>5.8880308880308881E-2</v>
      </c>
      <c r="Q67" s="1"/>
      <c r="S67" s="17">
        <f t="shared" ref="S67:AC67" si="35">SUBTOTAL(9,S69:S78)</f>
        <v>3454</v>
      </c>
      <c r="T67" s="17">
        <f t="shared" si="35"/>
        <v>119.7720534861111</v>
      </c>
      <c r="U67" s="17">
        <f t="shared" si="35"/>
        <v>107.7948481375</v>
      </c>
      <c r="V67" s="18">
        <f t="shared" si="35"/>
        <v>29.228156688286745</v>
      </c>
      <c r="W67" s="18">
        <f t="shared" si="35"/>
        <v>0.73181922400548749</v>
      </c>
      <c r="X67" s="18">
        <f t="shared" si="35"/>
        <v>544.00500000000011</v>
      </c>
      <c r="Y67" s="18">
        <f t="shared" si="35"/>
        <v>203.37258687258691</v>
      </c>
      <c r="Z67" s="18">
        <f t="shared" si="35"/>
        <v>9.1726612437952397</v>
      </c>
      <c r="AA67" s="18">
        <f t="shared" si="35"/>
        <v>13.884131275941989</v>
      </c>
      <c r="AB67" s="18">
        <f t="shared" si="35"/>
        <v>468</v>
      </c>
      <c r="AC67" s="19">
        <f t="shared" si="35"/>
        <v>1268.3943553046165</v>
      </c>
    </row>
    <row r="68" spans="1:29" x14ac:dyDescent="0.3">
      <c r="A68" s="1" t="s">
        <v>145</v>
      </c>
      <c r="B68" s="1" t="s">
        <v>30</v>
      </c>
      <c r="C68" s="1" t="s">
        <v>0</v>
      </c>
      <c r="D68" s="1" t="s">
        <v>4</v>
      </c>
      <c r="E68" s="1" t="s">
        <v>5</v>
      </c>
      <c r="F68" s="1" t="s">
        <v>45</v>
      </c>
      <c r="G68" s="1" t="s">
        <v>57</v>
      </c>
      <c r="H68" s="1" t="s">
        <v>6</v>
      </c>
      <c r="I68" s="1" t="s">
        <v>2</v>
      </c>
      <c r="J68" s="1" t="s">
        <v>7</v>
      </c>
      <c r="K68" s="1" t="s">
        <v>31</v>
      </c>
      <c r="L68" s="1" t="s">
        <v>8</v>
      </c>
      <c r="M68" s="1" t="s">
        <v>34</v>
      </c>
      <c r="N68" s="1" t="s">
        <v>35</v>
      </c>
      <c r="O68" s="1" t="s">
        <v>37</v>
      </c>
      <c r="P68" s="1" t="s">
        <v>79</v>
      </c>
      <c r="Q68" s="1" t="s">
        <v>38</v>
      </c>
      <c r="R68" s="1" t="s">
        <v>39</v>
      </c>
      <c r="S68" s="2" t="s">
        <v>43</v>
      </c>
      <c r="T68" s="2" t="s">
        <v>2</v>
      </c>
      <c r="U68" s="2" t="s">
        <v>7</v>
      </c>
      <c r="V68" s="2">
        <f>+'Finished goods'!K68</f>
        <v>0</v>
      </c>
      <c r="W68" s="2">
        <f>+'Finished goods'!L68</f>
        <v>0</v>
      </c>
      <c r="X68" s="2">
        <f>+'Finished goods'!M68</f>
        <v>0</v>
      </c>
      <c r="Y68" s="2">
        <f>+'Finished goods'!N68</f>
        <v>0</v>
      </c>
      <c r="Z68" s="2">
        <f>+'Finished goods'!Q68</f>
        <v>0</v>
      </c>
      <c r="AA68" s="3" t="s">
        <v>111</v>
      </c>
      <c r="AB68" s="3" t="s">
        <v>115</v>
      </c>
      <c r="AC68" s="3" t="s">
        <v>42</v>
      </c>
    </row>
    <row r="69" spans="1:29" ht="14.4" customHeight="1" x14ac:dyDescent="0.3">
      <c r="A69" s="242" t="s">
        <v>415</v>
      </c>
      <c r="B69" s="21" t="s">
        <v>122</v>
      </c>
      <c r="C69" s="4" t="str">
        <f>+C53</f>
        <v>Tavolo twist Logo</v>
      </c>
      <c r="D69" s="5">
        <f>VLOOKUP($C69,'Finished goods'!$A$5:$Q$27,2,FALSE)</f>
        <v>8</v>
      </c>
      <c r="E69" s="5">
        <f>VLOOKUP($C69,'Finished goods'!$A$5:$Q$27,3,FALSE)</f>
        <v>10</v>
      </c>
      <c r="F69" s="5">
        <f>VLOOKUP($C69,'Finished goods'!$A$5:$Q$27,4,FALSE)</f>
        <v>1.22</v>
      </c>
      <c r="G69" s="5">
        <f>VLOOKUP($C69,'Finished goods'!$A$5:$Q$27,5,FALSE)</f>
        <v>82</v>
      </c>
      <c r="H69" s="8">
        <f>VLOOKUP($C69,'Finished goods'!$A$5:$Q$27,6,FALSE)</f>
        <v>7.9769999999999997E-3</v>
      </c>
      <c r="I69" s="9">
        <f>VLOOKUP($C69,'Finished goods'!$A$5:$Q$27,7,FALSE)</f>
        <v>22.158333333333331</v>
      </c>
      <c r="J69" s="9">
        <f>VLOOKUP($C69,'Finished goods'!$A$5:$Q$27,8,FALSE)</f>
        <v>19.942499999999999</v>
      </c>
      <c r="R69" s="23">
        <v>2</v>
      </c>
      <c r="S69" s="6">
        <f t="shared" ref="S69:S78" si="36">+G69*$R69</f>
        <v>164</v>
      </c>
      <c r="T69" s="6">
        <f t="shared" ref="T69:T78" si="37">+I69*$R69</f>
        <v>44.316666666666663</v>
      </c>
      <c r="U69" s="4">
        <f>+J69*$R69</f>
        <v>39.884999999999998</v>
      </c>
      <c r="V69" s="16">
        <f>+S69*$M$3/'COST DATA'!$D$26</f>
        <v>1.3877874050026131</v>
      </c>
      <c r="W69" s="16">
        <f>+U69*$N$3</f>
        <v>0.27077926499999999</v>
      </c>
      <c r="X69" s="27">
        <f>+S69*$O$3</f>
        <v>25.830000000000005</v>
      </c>
      <c r="Y69" s="27">
        <f>+S69*$P$3</f>
        <v>9.6563706563706564</v>
      </c>
      <c r="Z69" s="4">
        <f>+(S69/$S$3)*('Finished goods'!$Q$3*'Project Ostelliere'!$S$1)</f>
        <v>0.43552879096190478</v>
      </c>
      <c r="AA69" s="4">
        <f>+'Finished goods'!$O$3*'Project Ostelliere'!T69</f>
        <v>5.1372452905594805</v>
      </c>
      <c r="AB69" s="4">
        <f>+'Finished goods'!P$5*R69</f>
        <v>300</v>
      </c>
      <c r="AC69" s="7">
        <f>+V69+W69+X69+Y69+Z69+AA69+AB69</f>
        <v>342.71771140789463</v>
      </c>
    </row>
    <row r="70" spans="1:29" x14ac:dyDescent="0.3">
      <c r="A70" s="243"/>
      <c r="B70" s="21" t="s">
        <v>122</v>
      </c>
      <c r="C70" s="4" t="str">
        <f t="shared" ref="C70:C78" si="38">+C54</f>
        <v xml:space="preserve">Vaso bitorzolo curvo </v>
      </c>
      <c r="D70" s="5">
        <f>VLOOKUP($C70,'Finished goods'!$A$5:$Q$27,2,FALSE)</f>
        <v>4</v>
      </c>
      <c r="E70" s="5">
        <f>VLOOKUP($C70,'Finished goods'!$A$5:$Q$27,3,FALSE)</f>
        <v>2</v>
      </c>
      <c r="F70" s="5">
        <f>VLOOKUP($C70,'Finished goods'!$A$5:$Q$27,4,FALSE)</f>
        <v>5.21</v>
      </c>
      <c r="G70" s="5">
        <f>VLOOKUP($C70,'Finished goods'!$A$5:$Q$27,5,FALSE)</f>
        <v>321</v>
      </c>
      <c r="H70" s="8">
        <f>VLOOKUP($C70,'Finished goods'!$A$5:$Q$27,6,FALSE)</f>
        <v>6.0029599999999995E-4</v>
      </c>
      <c r="I70" s="9">
        <f>VLOOKUP($C70,'Finished goods'!$A$5:$Q$27,7,FALSE)</f>
        <v>1.6674888888888888</v>
      </c>
      <c r="J70" s="9">
        <f>VLOOKUP($C70,'Finished goods'!$A$5:$Q$27,8,FALSE)</f>
        <v>1.50074</v>
      </c>
      <c r="R70" s="23">
        <v>2</v>
      </c>
      <c r="S70" s="6">
        <f t="shared" si="36"/>
        <v>642</v>
      </c>
      <c r="T70" s="6">
        <f t="shared" si="37"/>
        <v>3.3349777777777776</v>
      </c>
      <c r="U70" s="4">
        <f t="shared" ref="U70:U78" si="39">+J70*$R70</f>
        <v>3.0014799999999999</v>
      </c>
      <c r="V70" s="16">
        <f>+S70*$M$3/'COST DATA'!$D$26</f>
        <v>5.4326799634858398</v>
      </c>
      <c r="W70" s="16">
        <f t="shared" ref="W70:W78" si="40">+U70*$N$3</f>
        <v>2.0377047719999999E-2</v>
      </c>
      <c r="X70" s="27">
        <f t="shared" ref="X70:X78" si="41">+S70*$O$3</f>
        <v>101.11500000000002</v>
      </c>
      <c r="Y70" s="27">
        <f t="shared" ref="Y70:Y78" si="42">+S70*$P$3</f>
        <v>37.801158301158303</v>
      </c>
      <c r="Z70" s="4">
        <f>+(S70/$S$3)*('Finished goods'!$Q$3*'Project Ostelliere'!$S$1)</f>
        <v>1.7049358768142857</v>
      </c>
      <c r="AA70" s="4">
        <f>+'Finished goods'!$O$3*'Project Ostelliere'!T70</f>
        <v>0.38659493530671857</v>
      </c>
      <c r="AB70" s="4"/>
      <c r="AC70" s="7">
        <f t="shared" ref="AC70:AC78" si="43">+V70+W70+X70+Y70+Z70+AA70+AB70</f>
        <v>146.46074612448518</v>
      </c>
    </row>
    <row r="71" spans="1:29" x14ac:dyDescent="0.3">
      <c r="A71" s="243"/>
      <c r="B71" s="21" t="s">
        <v>122</v>
      </c>
      <c r="C71" s="4" t="str">
        <f t="shared" si="38"/>
        <v>Vaso bitorzolo twist</v>
      </c>
      <c r="D71" s="5">
        <f>VLOOKUP($C71,'Finished goods'!$A$5:$Q$27,2,FALSE)</f>
        <v>4</v>
      </c>
      <c r="E71" s="5">
        <f>VLOOKUP($C71,'Finished goods'!$A$5:$Q$27,3,FALSE)</f>
        <v>2</v>
      </c>
      <c r="F71" s="5">
        <f>VLOOKUP($C71,'Finished goods'!$A$5:$Q$27,4,FALSE)</f>
        <v>5.15</v>
      </c>
      <c r="G71" s="5">
        <f>VLOOKUP($C71,'Finished goods'!$A$5:$Q$27,5,FALSE)</f>
        <v>315</v>
      </c>
      <c r="H71" s="8">
        <f>VLOOKUP($C71,'Finished goods'!$A$5:$Q$27,6,FALSE)</f>
        <v>8.005105E-4</v>
      </c>
      <c r="I71" s="9">
        <f>VLOOKUP($C71,'Finished goods'!$A$5:$Q$27,7,FALSE)</f>
        <v>2.2236402777777777</v>
      </c>
      <c r="J71" s="9">
        <f>VLOOKUP($C71,'Finished goods'!$A$5:$Q$27,8,FALSE)</f>
        <v>2.0012762500000001</v>
      </c>
      <c r="R71" s="23">
        <v>2</v>
      </c>
      <c r="S71" s="6">
        <f t="shared" si="36"/>
        <v>630</v>
      </c>
      <c r="T71" s="6">
        <f t="shared" si="37"/>
        <v>4.4472805555555555</v>
      </c>
      <c r="U71" s="4">
        <f t="shared" si="39"/>
        <v>4.0025525000000002</v>
      </c>
      <c r="V71" s="16">
        <f>+S71*$M$3/'COST DATA'!$D$26</f>
        <v>5.3311345436076003</v>
      </c>
      <c r="W71" s="16">
        <f t="shared" si="40"/>
        <v>2.71733289225E-2</v>
      </c>
      <c r="X71" s="27">
        <f t="shared" si="41"/>
        <v>99.225000000000023</v>
      </c>
      <c r="Y71" s="27">
        <f t="shared" si="42"/>
        <v>37.094594594594597</v>
      </c>
      <c r="Z71" s="4">
        <f>+(S71/$S$3)*('Finished goods'!$Q$3*'Project Ostelliere'!$S$1)</f>
        <v>1.6730679165000002</v>
      </c>
      <c r="AA71" s="4">
        <f>+'Finished goods'!$O$3*'Project Ostelliere'!T71</f>
        <v>0.51553451124086935</v>
      </c>
      <c r="AB71" s="4"/>
      <c r="AC71" s="7">
        <f t="shared" si="43"/>
        <v>143.86650489486561</v>
      </c>
    </row>
    <row r="72" spans="1:29" x14ac:dyDescent="0.3">
      <c r="A72" s="243"/>
      <c r="B72" s="21" t="s">
        <v>122</v>
      </c>
      <c r="C72" s="4" t="str">
        <f t="shared" si="38"/>
        <v>Vaso bitorzolo dritto</v>
      </c>
      <c r="D72" s="5">
        <f>VLOOKUP($C72,'Finished goods'!$A$5:$Q$27,2,FALSE)</f>
        <v>4</v>
      </c>
      <c r="E72" s="5">
        <f>VLOOKUP($C72,'Finished goods'!$A$5:$Q$27,3,FALSE)</f>
        <v>2</v>
      </c>
      <c r="F72" s="5">
        <f>VLOOKUP($C72,'Finished goods'!$A$5:$Q$27,4,FALSE)</f>
        <v>4.4800000000000004</v>
      </c>
      <c r="G72" s="5">
        <f>VLOOKUP($C72,'Finished goods'!$A$5:$Q$27,5,FALSE)</f>
        <v>288</v>
      </c>
      <c r="H72" s="8">
        <f>VLOOKUP($C72,'Finished goods'!$A$5:$Q$27,6,FALSE)</f>
        <v>8.2321687099999998E-4</v>
      </c>
      <c r="I72" s="9">
        <f>VLOOKUP($C72,'Finished goods'!$A$5:$Q$27,7,FALSE)</f>
        <v>2.2867135305555553</v>
      </c>
      <c r="J72" s="9">
        <f>VLOOKUP($C72,'Finished goods'!$A$5:$Q$27,8,FALSE)</f>
        <v>2.0580421775</v>
      </c>
      <c r="R72" s="23">
        <v>2</v>
      </c>
      <c r="S72" s="6">
        <f t="shared" si="36"/>
        <v>576</v>
      </c>
      <c r="T72" s="6">
        <f t="shared" si="37"/>
        <v>4.5734270611111105</v>
      </c>
      <c r="U72" s="4">
        <f t="shared" si="39"/>
        <v>4.1160843549999999</v>
      </c>
      <c r="V72" s="16">
        <f>+S72*$M$3/'COST DATA'!$D$26</f>
        <v>4.8741801541555203</v>
      </c>
      <c r="W72" s="16">
        <f t="shared" si="40"/>
        <v>2.7944096686094998E-2</v>
      </c>
      <c r="X72" s="27">
        <f t="shared" si="41"/>
        <v>90.720000000000013</v>
      </c>
      <c r="Y72" s="27">
        <f t="shared" si="42"/>
        <v>33.915057915057915</v>
      </c>
      <c r="Z72" s="4">
        <f>+(S72/$S$3)*('Finished goods'!$Q$3*'Project Ostelliere'!$S$1)</f>
        <v>1.5296620950857143</v>
      </c>
      <c r="AA72" s="4">
        <f>+'Finished goods'!$O$3*'Project Ostelliere'!T72</f>
        <v>0.53015757724130141</v>
      </c>
      <c r="AB72" s="4"/>
      <c r="AC72" s="7">
        <f t="shared" si="43"/>
        <v>131.59700183822656</v>
      </c>
    </row>
    <row r="73" spans="1:29" x14ac:dyDescent="0.3">
      <c r="A73" s="243"/>
      <c r="B73" s="21" t="s">
        <v>122</v>
      </c>
      <c r="C73" s="4" t="str">
        <f t="shared" si="38"/>
        <v>Porta riviste</v>
      </c>
      <c r="D73" s="5">
        <f>VLOOKUP($C73,'Finished goods'!$A$5:$Q$27,2,FALSE)</f>
        <v>10</v>
      </c>
      <c r="E73" s="5">
        <f>VLOOKUP($C73,'Finished goods'!$A$5:$Q$27,3,FALSE)</f>
        <v>10</v>
      </c>
      <c r="F73" s="5">
        <f>VLOOKUP($C73,'Finished goods'!$A$5:$Q$27,4,FALSE)</f>
        <v>0.42</v>
      </c>
      <c r="G73" s="5">
        <f>VLOOKUP($C73,'Finished goods'!$A$5:$Q$27,5,FALSE)</f>
        <v>42</v>
      </c>
      <c r="H73" s="8">
        <f>VLOOKUP($C73,'Finished goods'!$A$5:$Q$27,6,FALSE)</f>
        <v>3.5606798E-3</v>
      </c>
      <c r="I73" s="9">
        <f>VLOOKUP($C73,'Finished goods'!$A$5:$Q$27,7,FALSE)</f>
        <v>9.890777222222221</v>
      </c>
      <c r="J73" s="9">
        <f>VLOOKUP($C73,'Finished goods'!$A$5:$Q$27,8,FALSE)</f>
        <v>8.9016994999999994</v>
      </c>
      <c r="R73" s="23">
        <v>2</v>
      </c>
      <c r="S73" s="6">
        <f t="shared" si="36"/>
        <v>84</v>
      </c>
      <c r="T73" s="6">
        <f t="shared" si="37"/>
        <v>19.781554444444442</v>
      </c>
      <c r="U73" s="4">
        <f t="shared" si="39"/>
        <v>17.803398999999999</v>
      </c>
      <c r="V73" s="16">
        <f>+S73*$M$3/'COST DATA'!$D$26</f>
        <v>0.71081793914767988</v>
      </c>
      <c r="W73" s="16">
        <f t="shared" si="40"/>
        <v>0.12086727581099999</v>
      </c>
      <c r="X73" s="27">
        <f t="shared" si="41"/>
        <v>13.230000000000002</v>
      </c>
      <c r="Y73" s="27">
        <f t="shared" si="42"/>
        <v>4.9459459459459456</v>
      </c>
      <c r="Z73" s="4">
        <f>+(S73/$S$3)*('Finished goods'!$Q$3*'Project Ostelliere'!$S$1)</f>
        <v>0.22307572219999999</v>
      </c>
      <c r="AA73" s="4">
        <f>+'Finished goods'!$O$3*'Project Ostelliere'!T73</f>
        <v>2.2931033638887142</v>
      </c>
      <c r="AB73" s="4"/>
      <c r="AC73" s="7">
        <f t="shared" si="43"/>
        <v>21.523810246993346</v>
      </c>
    </row>
    <row r="74" spans="1:29" x14ac:dyDescent="0.3">
      <c r="A74" s="243"/>
      <c r="B74" s="21" t="s">
        <v>122</v>
      </c>
      <c r="C74" s="4" t="str">
        <f t="shared" si="38"/>
        <v>Lampada 90 grossa</v>
      </c>
      <c r="D74" s="5">
        <f>VLOOKUP($C74,'Finished goods'!$A$5:$Q$27,2,FALSE)</f>
        <v>8</v>
      </c>
      <c r="E74" s="5">
        <f>VLOOKUP($C74,'Finished goods'!$A$5:$Q$27,3,FALSE)</f>
        <v>10</v>
      </c>
      <c r="F74" s="5">
        <f>VLOOKUP($C74,'Finished goods'!$A$5:$Q$27,4,FALSE)</f>
        <v>1.39</v>
      </c>
      <c r="G74" s="5">
        <f>VLOOKUP($C74,'Finished goods'!$A$5:$Q$27,5,FALSE)</f>
        <v>99</v>
      </c>
      <c r="H74" s="8">
        <f>VLOOKUP($C74,'Finished goods'!$A$5:$Q$27,6,FALSE)</f>
        <v>1.7366300000000001E-3</v>
      </c>
      <c r="I74" s="9">
        <f>VLOOKUP($C74,'Finished goods'!$A$5:$Q$27,7,FALSE)</f>
        <v>4.8239722222222232</v>
      </c>
      <c r="J74" s="9">
        <f>VLOOKUP($C74,'Finished goods'!$A$5:$Q$27,8,FALSE)</f>
        <v>4.3415750000000006</v>
      </c>
      <c r="R74" s="23">
        <v>1</v>
      </c>
      <c r="S74" s="6">
        <f t="shared" si="36"/>
        <v>99</v>
      </c>
      <c r="T74" s="6">
        <f t="shared" si="37"/>
        <v>4.8239722222222232</v>
      </c>
      <c r="U74" s="4">
        <f t="shared" si="39"/>
        <v>4.3415750000000006</v>
      </c>
      <c r="V74" s="16">
        <f>+S74*$M$3/'COST DATA'!$D$26</f>
        <v>0.83774971399547993</v>
      </c>
      <c r="W74" s="16">
        <f t="shared" si="40"/>
        <v>2.9474952675000003E-2</v>
      </c>
      <c r="X74" s="27">
        <f t="shared" si="41"/>
        <v>15.592500000000003</v>
      </c>
      <c r="Y74" s="27">
        <f t="shared" si="42"/>
        <v>5.8291505791505793</v>
      </c>
      <c r="Z74" s="4">
        <f>+(S74/$S$3)*('Finished goods'!$Q$3*'Project Ostelliere'!$S$1)</f>
        <v>0.26291067259285716</v>
      </c>
      <c r="AA74" s="4">
        <f>+'Finished goods'!$O$3*'Project Ostelliere'!T74</f>
        <v>0.55920109621062508</v>
      </c>
      <c r="AB74" s="4">
        <f>+'Finished goods'!P$10*R74</f>
        <v>24</v>
      </c>
      <c r="AC74" s="7">
        <f t="shared" si="43"/>
        <v>47.110987014624541</v>
      </c>
    </row>
    <row r="75" spans="1:29" x14ac:dyDescent="0.3">
      <c r="A75" s="243"/>
      <c r="B75" s="21" t="s">
        <v>122</v>
      </c>
      <c r="C75" s="4" t="str">
        <f t="shared" si="38"/>
        <v>Lampada 90 piccola</v>
      </c>
      <c r="D75" s="5">
        <f>VLOOKUP($C75,'Finished goods'!$A$5:$Q$27,2,FALSE)</f>
        <v>5</v>
      </c>
      <c r="E75" s="5">
        <f>VLOOKUP($C75,'Finished goods'!$A$5:$Q$27,3,FALSE)</f>
        <v>10</v>
      </c>
      <c r="F75" s="5">
        <f>VLOOKUP($C75,'Finished goods'!$A$5:$Q$27,4,FALSE)</f>
        <v>1.1499999999999999</v>
      </c>
      <c r="G75" s="5">
        <f>VLOOKUP($C75,'Finished goods'!$A$5:$Q$27,5,FALSE)</f>
        <v>75</v>
      </c>
      <c r="H75" s="8">
        <f>VLOOKUP($C75,'Finished goods'!$A$5:$Q$27,6,FALSE)</f>
        <v>8.1557296000000004E-4</v>
      </c>
      <c r="I75" s="9">
        <f>VLOOKUP($C75,'Finished goods'!$A$5:$Q$27,7,FALSE)</f>
        <v>2.2654804444444445</v>
      </c>
      <c r="J75" s="9">
        <f>VLOOKUP($C75,'Finished goods'!$A$5:$Q$27,8,FALSE)</f>
        <v>2.0389324000000002</v>
      </c>
      <c r="R75" s="23">
        <v>6</v>
      </c>
      <c r="S75" s="6">
        <f t="shared" si="36"/>
        <v>450</v>
      </c>
      <c r="T75" s="6">
        <f t="shared" si="37"/>
        <v>13.592882666666668</v>
      </c>
      <c r="U75" s="4">
        <f t="shared" si="39"/>
        <v>12.233594400000001</v>
      </c>
      <c r="V75" s="16">
        <f>+S75*$M$3/'COST DATA'!$D$26</f>
        <v>3.8079532454339997</v>
      </c>
      <c r="W75" s="16">
        <f t="shared" si="40"/>
        <v>8.3053872381600002E-2</v>
      </c>
      <c r="X75" s="27">
        <f t="shared" si="41"/>
        <v>70.875000000000014</v>
      </c>
      <c r="Y75" s="27">
        <f t="shared" si="42"/>
        <v>26.496138996138995</v>
      </c>
      <c r="Z75" s="4">
        <f>+(S75/$S$3)*('Finished goods'!$Q$3*'Project Ostelliere'!$S$1)</f>
        <v>1.1950485117857144</v>
      </c>
      <c r="AA75" s="4">
        <f>+'Finished goods'!$O$3*'Project Ostelliere'!T75</f>
        <v>1.5757045309769298</v>
      </c>
      <c r="AB75" s="4">
        <f>+'Finished goods'!P$11*R75</f>
        <v>144</v>
      </c>
      <c r="AC75" s="7">
        <f t="shared" si="43"/>
        <v>248.03289915671726</v>
      </c>
    </row>
    <row r="76" spans="1:29" x14ac:dyDescent="0.3">
      <c r="A76" s="243"/>
      <c r="B76" s="21" t="s">
        <v>122</v>
      </c>
      <c r="C76" s="4" t="str">
        <f t="shared" si="38"/>
        <v>Vaso Logo</v>
      </c>
      <c r="D76" s="5">
        <f>VLOOKUP($C76,'Finished goods'!$A$5:$Q$27,2,FALSE)</f>
        <v>5</v>
      </c>
      <c r="E76" s="5">
        <f>VLOOKUP($C76,'Finished goods'!$A$5:$Q$27,3,FALSE)</f>
        <v>10</v>
      </c>
      <c r="F76" s="5">
        <f>VLOOKUP($C76,'Finished goods'!$A$5:$Q$27,4,FALSE)</f>
        <v>0.39</v>
      </c>
      <c r="G76" s="5">
        <f>VLOOKUP($C76,'Finished goods'!$A$5:$Q$27,5,FALSE)</f>
        <v>39</v>
      </c>
      <c r="H76" s="8">
        <f>VLOOKUP($C76,'Finished goods'!$A$5:$Q$27,6,FALSE)</f>
        <v>1.1639584900000001E-3</v>
      </c>
      <c r="I76" s="9">
        <f>VLOOKUP($C76,'Finished goods'!$A$5:$Q$27,7,FALSE)</f>
        <v>3.2332180277777778</v>
      </c>
      <c r="J76" s="9">
        <f>VLOOKUP($C76,'Finished goods'!$A$5:$Q$27,8,FALSE)</f>
        <v>2.9098962250000002</v>
      </c>
      <c r="R76" s="23">
        <v>3</v>
      </c>
      <c r="S76" s="6">
        <f t="shared" si="36"/>
        <v>117</v>
      </c>
      <c r="T76" s="6">
        <f t="shared" si="37"/>
        <v>9.6996540833333338</v>
      </c>
      <c r="U76" s="4">
        <f t="shared" si="39"/>
        <v>8.7296886750000002</v>
      </c>
      <c r="V76" s="16">
        <f>+S76*$M$3/'COST DATA'!$D$26</f>
        <v>0.99006784381283996</v>
      </c>
      <c r="W76" s="16">
        <f t="shared" si="40"/>
        <v>5.9265856414574998E-2</v>
      </c>
      <c r="X76" s="27">
        <f t="shared" si="41"/>
        <v>18.427500000000002</v>
      </c>
      <c r="Y76" s="27">
        <f t="shared" si="42"/>
        <v>6.8889961389961387</v>
      </c>
      <c r="Z76" s="4">
        <f>+(S76/$S$3)*('Finished goods'!$Q$3*'Project Ostelliere'!$S$1)</f>
        <v>0.31071261306428571</v>
      </c>
      <c r="AA76" s="4">
        <f>+'Finished goods'!$O$3*'Project Ostelliere'!T76</f>
        <v>1.1243964406091058</v>
      </c>
      <c r="AB76" s="4"/>
      <c r="AC76" s="7">
        <f t="shared" si="43"/>
        <v>27.800938892896948</v>
      </c>
    </row>
    <row r="77" spans="1:29" x14ac:dyDescent="0.3">
      <c r="A77" s="243"/>
      <c r="B77" s="21" t="s">
        <v>122</v>
      </c>
      <c r="C77" s="4" t="str">
        <f t="shared" si="38"/>
        <v>Copri candela</v>
      </c>
      <c r="D77" s="5">
        <f>VLOOKUP($C77,'Finished goods'!$A$5:$Q$27,2,FALSE)</f>
        <v>4</v>
      </c>
      <c r="E77" s="5">
        <f>VLOOKUP($C77,'Finished goods'!$A$5:$Q$27,3,FALSE)</f>
        <v>5</v>
      </c>
      <c r="F77" s="5">
        <f>VLOOKUP($C77,'Finished goods'!$A$5:$Q$27,4,FALSE)</f>
        <v>0.34</v>
      </c>
      <c r="G77" s="5">
        <f>VLOOKUP($C77,'Finished goods'!$A$5:$Q$27,5,FALSE)</f>
        <v>34</v>
      </c>
      <c r="H77" s="8">
        <f>VLOOKUP($C77,'Finished goods'!$A$5:$Q$27,6,FALSE)</f>
        <v>2.3780405299999999E-4</v>
      </c>
      <c r="I77" s="9">
        <f>VLOOKUP($C77,'Finished goods'!$A$5:$Q$27,7,FALSE)</f>
        <v>0.66056681388888883</v>
      </c>
      <c r="J77" s="9">
        <f>VLOOKUP($C77,'Finished goods'!$A$5:$Q$27,8,FALSE)</f>
        <v>0.59451013249999995</v>
      </c>
      <c r="R77" s="23">
        <v>15</v>
      </c>
      <c r="S77" s="6">
        <f t="shared" si="36"/>
        <v>510</v>
      </c>
      <c r="T77" s="6">
        <f t="shared" si="37"/>
        <v>9.9085022083333332</v>
      </c>
      <c r="U77" s="4">
        <f t="shared" si="39"/>
        <v>8.9176519874999993</v>
      </c>
      <c r="V77" s="16">
        <f>+S77*$M$3/'COST DATA'!$D$26</f>
        <v>4.3156803448251999</v>
      </c>
      <c r="W77" s="16">
        <f t="shared" si="40"/>
        <v>6.0541939343137494E-2</v>
      </c>
      <c r="X77" s="27">
        <f t="shared" si="41"/>
        <v>80.325000000000017</v>
      </c>
      <c r="Y77" s="27">
        <f t="shared" si="42"/>
        <v>30.02895752895753</v>
      </c>
      <c r="Z77" s="4">
        <f>+(S77/$S$3)*('Finished goods'!$Q$3*'Project Ostelliere'!$S$1)</f>
        <v>1.3543883133571428</v>
      </c>
      <c r="AA77" s="4">
        <f>+'Finished goods'!$O$3*'Project Ostelliere'!T77</f>
        <v>1.1486063852484083</v>
      </c>
      <c r="AB77" s="4"/>
      <c r="AC77" s="7">
        <f t="shared" si="43"/>
        <v>117.23317451173145</v>
      </c>
    </row>
    <row r="78" spans="1:29" x14ac:dyDescent="0.3">
      <c r="A78" s="244"/>
      <c r="B78" s="21" t="s">
        <v>122</v>
      </c>
      <c r="C78" s="4" t="str">
        <f t="shared" si="38"/>
        <v xml:space="preserve">Vaso Grosso </v>
      </c>
      <c r="D78" s="5">
        <f>VLOOKUP($C78,'Finished goods'!$A$5:$Q$27,2,FALSE)</f>
        <v>4</v>
      </c>
      <c r="E78" s="5">
        <f>VLOOKUP($C78,'Finished goods'!$A$5:$Q$27,3,FALSE)</f>
        <v>5</v>
      </c>
      <c r="F78" s="5">
        <f>VLOOKUP($C78,'Finished goods'!$A$5:$Q$27,4,FALSE)</f>
        <v>1.31</v>
      </c>
      <c r="G78" s="5">
        <f>VLOOKUP($C78,'Finished goods'!$A$5:$Q$27,5,FALSE)</f>
        <v>91</v>
      </c>
      <c r="H78" s="8">
        <f>VLOOKUP($C78,'Finished goods'!$A$5:$Q$27,6,FALSE)</f>
        <v>9.52764444E-4</v>
      </c>
      <c r="I78" s="9">
        <f>VLOOKUP($C78,'Finished goods'!$A$5:$Q$27,7,FALSE)</f>
        <v>2.6465679</v>
      </c>
      <c r="J78" s="9">
        <f>VLOOKUP($C78,'Finished goods'!$A$5:$Q$27,8,FALSE)</f>
        <v>2.3819111099999999</v>
      </c>
      <c r="R78" s="23">
        <v>2</v>
      </c>
      <c r="S78" s="6">
        <f t="shared" si="36"/>
        <v>182</v>
      </c>
      <c r="T78" s="6">
        <f t="shared" si="37"/>
        <v>5.2931357999999999</v>
      </c>
      <c r="U78" s="4">
        <f t="shared" si="39"/>
        <v>4.7638222199999998</v>
      </c>
      <c r="V78" s="16">
        <f>+S78*$M$3/'COST DATA'!$D$26</f>
        <v>1.5401055348199733</v>
      </c>
      <c r="W78" s="16">
        <f t="shared" si="40"/>
        <v>3.2341589051580001E-2</v>
      </c>
      <c r="X78" s="27">
        <f t="shared" si="41"/>
        <v>28.665000000000006</v>
      </c>
      <c r="Y78" s="27">
        <f t="shared" si="42"/>
        <v>10.716216216216216</v>
      </c>
      <c r="Z78" s="4">
        <f>+(S78/$S$3)*('Finished goods'!$Q$3*'Project Ostelliere'!$S$1)</f>
        <v>0.48333073143333333</v>
      </c>
      <c r="AA78" s="4">
        <f>+'Finished goods'!$O$3*'Project Ostelliere'!T78</f>
        <v>0.61358714465983732</v>
      </c>
      <c r="AB78" s="4"/>
      <c r="AC78" s="7">
        <f t="shared" si="43"/>
        <v>42.050581216180944</v>
      </c>
    </row>
    <row r="81" spans="1:29" ht="18" x14ac:dyDescent="0.35">
      <c r="D81" s="237" t="s">
        <v>40</v>
      </c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4" t="s">
        <v>32</v>
      </c>
      <c r="S81" s="47">
        <f>+S83/60/7</f>
        <v>8.2238095238095248</v>
      </c>
      <c r="T81" t="s">
        <v>83</v>
      </c>
    </row>
    <row r="82" spans="1:29" x14ac:dyDescent="0.3">
      <c r="D82" s="236" t="s">
        <v>33</v>
      </c>
      <c r="E82" s="236"/>
      <c r="F82" s="236"/>
      <c r="G82" s="236"/>
      <c r="H82" s="236"/>
      <c r="I82" s="236"/>
      <c r="J82" s="236"/>
      <c r="M82" s="236" t="s">
        <v>36</v>
      </c>
      <c r="N82" s="236"/>
      <c r="O82" s="236"/>
      <c r="P82" s="236"/>
      <c r="Q82" s="236"/>
      <c r="V82" s="241" t="s">
        <v>41</v>
      </c>
      <c r="W82" s="241"/>
      <c r="X82" s="241"/>
      <c r="Y82" s="241"/>
      <c r="Z82" s="241"/>
      <c r="AA82" s="241"/>
      <c r="AB82" s="241"/>
      <c r="AC82" s="241"/>
    </row>
    <row r="83" spans="1:29" ht="18" x14ac:dyDescent="0.35">
      <c r="F83" s="225" t="s">
        <v>44</v>
      </c>
      <c r="G83" s="225"/>
      <c r="I83" s="20">
        <f>SUBTOTAL(9,I85:I94)</f>
        <v>51.856758661111115</v>
      </c>
      <c r="J83" s="20">
        <f>SUBTOTAL(9,J85:J94)</f>
        <v>46.67108279499999</v>
      </c>
      <c r="K83" s="1">
        <f>+'Finished goods'!$I$3</f>
        <v>2500</v>
      </c>
      <c r="L83" s="1">
        <f>+'Finished goods'!$J$3</f>
        <v>0.9</v>
      </c>
      <c r="M83" s="15">
        <f>+'Finished goods'!$K$3</f>
        <v>0.50772709939119998</v>
      </c>
      <c r="N83" s="15">
        <f>+'Finished goods'!$L$3</f>
        <v>6.7889999999999999E-3</v>
      </c>
      <c r="O83" s="13">
        <f>+'Finished goods'!$M$3</f>
        <v>0.15750000000000003</v>
      </c>
      <c r="P83" s="46">
        <f>+'Finished goods'!$N$3</f>
        <v>5.8880308880308881E-2</v>
      </c>
      <c r="Q83" s="1"/>
      <c r="S83" s="17">
        <f t="shared" ref="S83:AC83" si="44">SUBTOTAL(9,S85:S94)</f>
        <v>3454</v>
      </c>
      <c r="T83" s="17">
        <f t="shared" si="44"/>
        <v>119.7720534861111</v>
      </c>
      <c r="U83" s="17">
        <f t="shared" si="44"/>
        <v>107.7948481375</v>
      </c>
      <c r="V83" s="18">
        <f t="shared" si="44"/>
        <v>29.228156688286745</v>
      </c>
      <c r="W83" s="18">
        <f t="shared" si="44"/>
        <v>0.73181922400548749</v>
      </c>
      <c r="X83" s="18">
        <f t="shared" si="44"/>
        <v>544.00500000000011</v>
      </c>
      <c r="Y83" s="18">
        <f t="shared" si="44"/>
        <v>203.37258687258691</v>
      </c>
      <c r="Z83" s="18">
        <f t="shared" si="44"/>
        <v>9.1726612437952397</v>
      </c>
      <c r="AA83" s="18">
        <f t="shared" si="44"/>
        <v>13.884131275941989</v>
      </c>
      <c r="AB83" s="18">
        <f t="shared" si="44"/>
        <v>468</v>
      </c>
      <c r="AC83" s="19">
        <f t="shared" si="44"/>
        <v>1268.3943553046165</v>
      </c>
    </row>
    <row r="84" spans="1:29" x14ac:dyDescent="0.3">
      <c r="A84" s="1" t="s">
        <v>145</v>
      </c>
      <c r="B84" s="1" t="s">
        <v>30</v>
      </c>
      <c r="C84" s="1" t="s">
        <v>0</v>
      </c>
      <c r="D84" s="1" t="s">
        <v>4</v>
      </c>
      <c r="E84" s="1" t="s">
        <v>5</v>
      </c>
      <c r="F84" s="1" t="s">
        <v>45</v>
      </c>
      <c r="G84" s="1" t="s">
        <v>57</v>
      </c>
      <c r="H84" s="1" t="s">
        <v>6</v>
      </c>
      <c r="I84" s="1" t="s">
        <v>2</v>
      </c>
      <c r="J84" s="1" t="s">
        <v>7</v>
      </c>
      <c r="K84" s="1" t="s">
        <v>31</v>
      </c>
      <c r="L84" s="1" t="s">
        <v>8</v>
      </c>
      <c r="M84" s="1" t="s">
        <v>34</v>
      </c>
      <c r="N84" s="1" t="s">
        <v>35</v>
      </c>
      <c r="O84" s="1" t="s">
        <v>37</v>
      </c>
      <c r="P84" s="1" t="s">
        <v>79</v>
      </c>
      <c r="Q84" s="1" t="s">
        <v>38</v>
      </c>
      <c r="R84" s="1" t="s">
        <v>39</v>
      </c>
      <c r="S84" s="2" t="s">
        <v>43</v>
      </c>
      <c r="T84" s="2" t="s">
        <v>2</v>
      </c>
      <c r="U84" s="2" t="s">
        <v>7</v>
      </c>
      <c r="V84" s="2">
        <f>+'Finished goods'!K84</f>
        <v>0</v>
      </c>
      <c r="W84" s="2">
        <f>+'Finished goods'!L84</f>
        <v>0</v>
      </c>
      <c r="X84" s="2">
        <f>+'Finished goods'!M84</f>
        <v>0</v>
      </c>
      <c r="Y84" s="2">
        <f>+'Finished goods'!N84</f>
        <v>0</v>
      </c>
      <c r="Z84" s="2">
        <f>+'Finished goods'!Q84</f>
        <v>0</v>
      </c>
      <c r="AA84" s="3" t="s">
        <v>111</v>
      </c>
      <c r="AB84" s="3" t="s">
        <v>115</v>
      </c>
      <c r="AC84" s="3" t="s">
        <v>42</v>
      </c>
    </row>
    <row r="85" spans="1:29" ht="14.4" customHeight="1" x14ac:dyDescent="0.3">
      <c r="A85" s="242" t="s">
        <v>416</v>
      </c>
      <c r="B85" s="21" t="s">
        <v>122</v>
      </c>
      <c r="C85" s="4" t="str">
        <f>+C69</f>
        <v>Tavolo twist Logo</v>
      </c>
      <c r="D85" s="5">
        <f>VLOOKUP($C85,'Finished goods'!$A$5:$Q$27,2,FALSE)</f>
        <v>8</v>
      </c>
      <c r="E85" s="5">
        <f>VLOOKUP($C85,'Finished goods'!$A$5:$Q$27,3,FALSE)</f>
        <v>10</v>
      </c>
      <c r="F85" s="5">
        <f>VLOOKUP($C85,'Finished goods'!$A$5:$Q$27,4,FALSE)</f>
        <v>1.22</v>
      </c>
      <c r="G85" s="5">
        <f>VLOOKUP($C85,'Finished goods'!$A$5:$Q$27,5,FALSE)</f>
        <v>82</v>
      </c>
      <c r="H85" s="8">
        <f>VLOOKUP($C85,'Finished goods'!$A$5:$Q$27,6,FALSE)</f>
        <v>7.9769999999999997E-3</v>
      </c>
      <c r="I85" s="9">
        <f>VLOOKUP($C85,'Finished goods'!$A$5:$Q$27,7,FALSE)</f>
        <v>22.158333333333331</v>
      </c>
      <c r="J85" s="9">
        <f>VLOOKUP($C85,'Finished goods'!$A$5:$Q$27,8,FALSE)</f>
        <v>19.942499999999999</v>
      </c>
      <c r="R85" s="23">
        <v>2</v>
      </c>
      <c r="S85" s="6">
        <f t="shared" ref="S85:S94" si="45">+G85*$R85</f>
        <v>164</v>
      </c>
      <c r="T85" s="6">
        <f t="shared" ref="T85:T94" si="46">+I85*$R85</f>
        <v>44.316666666666663</v>
      </c>
      <c r="U85" s="4">
        <f>+J85*$R85</f>
        <v>39.884999999999998</v>
      </c>
      <c r="V85" s="16">
        <f>+S85*$M$3/'COST DATA'!$D$26</f>
        <v>1.3877874050026131</v>
      </c>
      <c r="W85" s="16">
        <f>+U85*$N$3</f>
        <v>0.27077926499999999</v>
      </c>
      <c r="X85" s="27">
        <f>+S85*$O$3</f>
        <v>25.830000000000005</v>
      </c>
      <c r="Y85" s="27">
        <f>+S85*$P$3</f>
        <v>9.6563706563706564</v>
      </c>
      <c r="Z85" s="4">
        <f>+(S85/$S$3)*('Finished goods'!$Q$3*'Project Ostelliere'!$S$1)</f>
        <v>0.43552879096190478</v>
      </c>
      <c r="AA85" s="4">
        <f>+'Finished goods'!$O$3*'Project Ostelliere'!T85</f>
        <v>5.1372452905594805</v>
      </c>
      <c r="AB85" s="4">
        <f>+'Finished goods'!P$5*R85</f>
        <v>300</v>
      </c>
      <c r="AC85" s="7">
        <f>+V85+W85+X85+Y85+Z85+AA85+AB85</f>
        <v>342.71771140789463</v>
      </c>
    </row>
    <row r="86" spans="1:29" x14ac:dyDescent="0.3">
      <c r="A86" s="243"/>
      <c r="B86" s="21" t="s">
        <v>122</v>
      </c>
      <c r="C86" s="4" t="str">
        <f t="shared" ref="C86:C94" si="47">+C70</f>
        <v xml:space="preserve">Vaso bitorzolo curvo </v>
      </c>
      <c r="D86" s="5">
        <f>VLOOKUP($C86,'Finished goods'!$A$5:$Q$27,2,FALSE)</f>
        <v>4</v>
      </c>
      <c r="E86" s="5">
        <f>VLOOKUP($C86,'Finished goods'!$A$5:$Q$27,3,FALSE)</f>
        <v>2</v>
      </c>
      <c r="F86" s="5">
        <f>VLOOKUP($C86,'Finished goods'!$A$5:$Q$27,4,FALSE)</f>
        <v>5.21</v>
      </c>
      <c r="G86" s="5">
        <f>VLOOKUP($C86,'Finished goods'!$A$5:$Q$27,5,FALSE)</f>
        <v>321</v>
      </c>
      <c r="H86" s="8">
        <f>VLOOKUP($C86,'Finished goods'!$A$5:$Q$27,6,FALSE)</f>
        <v>6.0029599999999995E-4</v>
      </c>
      <c r="I86" s="9">
        <f>VLOOKUP($C86,'Finished goods'!$A$5:$Q$27,7,FALSE)</f>
        <v>1.6674888888888888</v>
      </c>
      <c r="J86" s="9">
        <f>VLOOKUP($C86,'Finished goods'!$A$5:$Q$27,8,FALSE)</f>
        <v>1.50074</v>
      </c>
      <c r="R86" s="23">
        <v>2</v>
      </c>
      <c r="S86" s="6">
        <f t="shared" si="45"/>
        <v>642</v>
      </c>
      <c r="T86" s="6">
        <f t="shared" si="46"/>
        <v>3.3349777777777776</v>
      </c>
      <c r="U86" s="4">
        <f t="shared" ref="U86:U94" si="48">+J86*$R86</f>
        <v>3.0014799999999999</v>
      </c>
      <c r="V86" s="16">
        <f>+S86*$M$3/'COST DATA'!$D$26</f>
        <v>5.4326799634858398</v>
      </c>
      <c r="W86" s="16">
        <f t="shared" ref="W86:W94" si="49">+U86*$N$3</f>
        <v>2.0377047719999999E-2</v>
      </c>
      <c r="X86" s="27">
        <f t="shared" ref="X86:X94" si="50">+S86*$O$3</f>
        <v>101.11500000000002</v>
      </c>
      <c r="Y86" s="27">
        <f t="shared" ref="Y86:Y94" si="51">+S86*$P$3</f>
        <v>37.801158301158303</v>
      </c>
      <c r="Z86" s="4">
        <f>+(S86/$S$3)*('Finished goods'!$Q$3*'Project Ostelliere'!$S$1)</f>
        <v>1.7049358768142857</v>
      </c>
      <c r="AA86" s="4">
        <f>+'Finished goods'!$O$3*'Project Ostelliere'!T86</f>
        <v>0.38659493530671857</v>
      </c>
      <c r="AB86" s="4"/>
      <c r="AC86" s="7">
        <f t="shared" ref="AC86:AC94" si="52">+V86+W86+X86+Y86+Z86+AA86+AB86</f>
        <v>146.46074612448518</v>
      </c>
    </row>
    <row r="87" spans="1:29" x14ac:dyDescent="0.3">
      <c r="A87" s="243"/>
      <c r="B87" s="21" t="s">
        <v>122</v>
      </c>
      <c r="C87" s="4" t="str">
        <f t="shared" si="47"/>
        <v>Vaso bitorzolo twist</v>
      </c>
      <c r="D87" s="5">
        <f>VLOOKUP($C87,'Finished goods'!$A$5:$Q$27,2,FALSE)</f>
        <v>4</v>
      </c>
      <c r="E87" s="5">
        <f>VLOOKUP($C87,'Finished goods'!$A$5:$Q$27,3,FALSE)</f>
        <v>2</v>
      </c>
      <c r="F87" s="5">
        <f>VLOOKUP($C87,'Finished goods'!$A$5:$Q$27,4,FALSE)</f>
        <v>5.15</v>
      </c>
      <c r="G87" s="5">
        <f>VLOOKUP($C87,'Finished goods'!$A$5:$Q$27,5,FALSE)</f>
        <v>315</v>
      </c>
      <c r="H87" s="8">
        <f>VLOOKUP($C87,'Finished goods'!$A$5:$Q$27,6,FALSE)</f>
        <v>8.005105E-4</v>
      </c>
      <c r="I87" s="9">
        <f>VLOOKUP($C87,'Finished goods'!$A$5:$Q$27,7,FALSE)</f>
        <v>2.2236402777777777</v>
      </c>
      <c r="J87" s="9">
        <f>VLOOKUP($C87,'Finished goods'!$A$5:$Q$27,8,FALSE)</f>
        <v>2.0012762500000001</v>
      </c>
      <c r="R87" s="23">
        <v>2</v>
      </c>
      <c r="S87" s="6">
        <f t="shared" si="45"/>
        <v>630</v>
      </c>
      <c r="T87" s="6">
        <f t="shared" si="46"/>
        <v>4.4472805555555555</v>
      </c>
      <c r="U87" s="4">
        <f t="shared" si="48"/>
        <v>4.0025525000000002</v>
      </c>
      <c r="V87" s="16">
        <f>+S87*$M$3/'COST DATA'!$D$26</f>
        <v>5.3311345436076003</v>
      </c>
      <c r="W87" s="16">
        <f t="shared" si="49"/>
        <v>2.71733289225E-2</v>
      </c>
      <c r="X87" s="27">
        <f t="shared" si="50"/>
        <v>99.225000000000023</v>
      </c>
      <c r="Y87" s="27">
        <f t="shared" si="51"/>
        <v>37.094594594594597</v>
      </c>
      <c r="Z87" s="4">
        <f>+(S87/$S$3)*('Finished goods'!$Q$3*'Project Ostelliere'!$S$1)</f>
        <v>1.6730679165000002</v>
      </c>
      <c r="AA87" s="4">
        <f>+'Finished goods'!$O$3*'Project Ostelliere'!T87</f>
        <v>0.51553451124086935</v>
      </c>
      <c r="AB87" s="4"/>
      <c r="AC87" s="7">
        <f t="shared" si="52"/>
        <v>143.86650489486561</v>
      </c>
    </row>
    <row r="88" spans="1:29" x14ac:dyDescent="0.3">
      <c r="A88" s="243"/>
      <c r="B88" s="21" t="s">
        <v>122</v>
      </c>
      <c r="C88" s="4" t="str">
        <f t="shared" si="47"/>
        <v>Vaso bitorzolo dritto</v>
      </c>
      <c r="D88" s="5">
        <f>VLOOKUP($C88,'Finished goods'!$A$5:$Q$27,2,FALSE)</f>
        <v>4</v>
      </c>
      <c r="E88" s="5">
        <f>VLOOKUP($C88,'Finished goods'!$A$5:$Q$27,3,FALSE)</f>
        <v>2</v>
      </c>
      <c r="F88" s="5">
        <f>VLOOKUP($C88,'Finished goods'!$A$5:$Q$27,4,FALSE)</f>
        <v>4.4800000000000004</v>
      </c>
      <c r="G88" s="5">
        <f>VLOOKUP($C88,'Finished goods'!$A$5:$Q$27,5,FALSE)</f>
        <v>288</v>
      </c>
      <c r="H88" s="8">
        <f>VLOOKUP($C88,'Finished goods'!$A$5:$Q$27,6,FALSE)</f>
        <v>8.2321687099999998E-4</v>
      </c>
      <c r="I88" s="9">
        <f>VLOOKUP($C88,'Finished goods'!$A$5:$Q$27,7,FALSE)</f>
        <v>2.2867135305555553</v>
      </c>
      <c r="J88" s="9">
        <f>VLOOKUP($C88,'Finished goods'!$A$5:$Q$27,8,FALSE)</f>
        <v>2.0580421775</v>
      </c>
      <c r="R88" s="23">
        <v>2</v>
      </c>
      <c r="S88" s="6">
        <f t="shared" si="45"/>
        <v>576</v>
      </c>
      <c r="T88" s="6">
        <f t="shared" si="46"/>
        <v>4.5734270611111105</v>
      </c>
      <c r="U88" s="4">
        <f t="shared" si="48"/>
        <v>4.1160843549999999</v>
      </c>
      <c r="V88" s="16">
        <f>+S88*$M$3/'COST DATA'!$D$26</f>
        <v>4.8741801541555203</v>
      </c>
      <c r="W88" s="16">
        <f t="shared" si="49"/>
        <v>2.7944096686094998E-2</v>
      </c>
      <c r="X88" s="27">
        <f t="shared" si="50"/>
        <v>90.720000000000013</v>
      </c>
      <c r="Y88" s="27">
        <f t="shared" si="51"/>
        <v>33.915057915057915</v>
      </c>
      <c r="Z88" s="4">
        <f>+(S88/$S$3)*('Finished goods'!$Q$3*'Project Ostelliere'!$S$1)</f>
        <v>1.5296620950857143</v>
      </c>
      <c r="AA88" s="4">
        <f>+'Finished goods'!$O$3*'Project Ostelliere'!T88</f>
        <v>0.53015757724130141</v>
      </c>
      <c r="AB88" s="4"/>
      <c r="AC88" s="7">
        <f t="shared" si="52"/>
        <v>131.59700183822656</v>
      </c>
    </row>
    <row r="89" spans="1:29" x14ac:dyDescent="0.3">
      <c r="A89" s="243"/>
      <c r="B89" s="21" t="s">
        <v>122</v>
      </c>
      <c r="C89" s="4" t="str">
        <f t="shared" si="47"/>
        <v>Porta riviste</v>
      </c>
      <c r="D89" s="5">
        <f>VLOOKUP($C89,'Finished goods'!$A$5:$Q$27,2,FALSE)</f>
        <v>10</v>
      </c>
      <c r="E89" s="5">
        <f>VLOOKUP($C89,'Finished goods'!$A$5:$Q$27,3,FALSE)</f>
        <v>10</v>
      </c>
      <c r="F89" s="5">
        <f>VLOOKUP($C89,'Finished goods'!$A$5:$Q$27,4,FALSE)</f>
        <v>0.42</v>
      </c>
      <c r="G89" s="5">
        <f>VLOOKUP($C89,'Finished goods'!$A$5:$Q$27,5,FALSE)</f>
        <v>42</v>
      </c>
      <c r="H89" s="8">
        <f>VLOOKUP($C89,'Finished goods'!$A$5:$Q$27,6,FALSE)</f>
        <v>3.5606798E-3</v>
      </c>
      <c r="I89" s="9">
        <f>VLOOKUP($C89,'Finished goods'!$A$5:$Q$27,7,FALSE)</f>
        <v>9.890777222222221</v>
      </c>
      <c r="J89" s="9">
        <f>VLOOKUP($C89,'Finished goods'!$A$5:$Q$27,8,FALSE)</f>
        <v>8.9016994999999994</v>
      </c>
      <c r="R89" s="23">
        <v>2</v>
      </c>
      <c r="S89" s="6">
        <f t="shared" si="45"/>
        <v>84</v>
      </c>
      <c r="T89" s="6">
        <f t="shared" si="46"/>
        <v>19.781554444444442</v>
      </c>
      <c r="U89" s="4">
        <f t="shared" si="48"/>
        <v>17.803398999999999</v>
      </c>
      <c r="V89" s="16">
        <f>+S89*$M$3/'COST DATA'!$D$26</f>
        <v>0.71081793914767988</v>
      </c>
      <c r="W89" s="16">
        <f t="shared" si="49"/>
        <v>0.12086727581099999</v>
      </c>
      <c r="X89" s="27">
        <f t="shared" si="50"/>
        <v>13.230000000000002</v>
      </c>
      <c r="Y89" s="27">
        <f t="shared" si="51"/>
        <v>4.9459459459459456</v>
      </c>
      <c r="Z89" s="4">
        <f>+(S89/$S$3)*('Finished goods'!$Q$3*'Project Ostelliere'!$S$1)</f>
        <v>0.22307572219999999</v>
      </c>
      <c r="AA89" s="4">
        <f>+'Finished goods'!$O$3*'Project Ostelliere'!T89</f>
        <v>2.2931033638887142</v>
      </c>
      <c r="AB89" s="4"/>
      <c r="AC89" s="7">
        <f t="shared" si="52"/>
        <v>21.523810246993346</v>
      </c>
    </row>
    <row r="90" spans="1:29" x14ac:dyDescent="0.3">
      <c r="A90" s="243"/>
      <c r="B90" s="21" t="s">
        <v>122</v>
      </c>
      <c r="C90" s="4" t="str">
        <f t="shared" si="47"/>
        <v>Lampada 90 grossa</v>
      </c>
      <c r="D90" s="5">
        <f>VLOOKUP($C90,'Finished goods'!$A$5:$Q$27,2,FALSE)</f>
        <v>8</v>
      </c>
      <c r="E90" s="5">
        <f>VLOOKUP($C90,'Finished goods'!$A$5:$Q$27,3,FALSE)</f>
        <v>10</v>
      </c>
      <c r="F90" s="5">
        <f>VLOOKUP($C90,'Finished goods'!$A$5:$Q$27,4,FALSE)</f>
        <v>1.39</v>
      </c>
      <c r="G90" s="5">
        <f>VLOOKUP($C90,'Finished goods'!$A$5:$Q$27,5,FALSE)</f>
        <v>99</v>
      </c>
      <c r="H90" s="8">
        <f>VLOOKUP($C90,'Finished goods'!$A$5:$Q$27,6,FALSE)</f>
        <v>1.7366300000000001E-3</v>
      </c>
      <c r="I90" s="9">
        <f>VLOOKUP($C90,'Finished goods'!$A$5:$Q$27,7,FALSE)</f>
        <v>4.8239722222222232</v>
      </c>
      <c r="J90" s="9">
        <f>VLOOKUP($C90,'Finished goods'!$A$5:$Q$27,8,FALSE)</f>
        <v>4.3415750000000006</v>
      </c>
      <c r="R90" s="23">
        <v>1</v>
      </c>
      <c r="S90" s="6">
        <f t="shared" si="45"/>
        <v>99</v>
      </c>
      <c r="T90" s="6">
        <f t="shared" si="46"/>
        <v>4.8239722222222232</v>
      </c>
      <c r="U90" s="4">
        <f t="shared" si="48"/>
        <v>4.3415750000000006</v>
      </c>
      <c r="V90" s="16">
        <f>+S90*$M$3/'COST DATA'!$D$26</f>
        <v>0.83774971399547993</v>
      </c>
      <c r="W90" s="16">
        <f t="shared" si="49"/>
        <v>2.9474952675000003E-2</v>
      </c>
      <c r="X90" s="27">
        <f t="shared" si="50"/>
        <v>15.592500000000003</v>
      </c>
      <c r="Y90" s="27">
        <f t="shared" si="51"/>
        <v>5.8291505791505793</v>
      </c>
      <c r="Z90" s="4">
        <f>+(S90/$S$3)*('Finished goods'!$Q$3*'Project Ostelliere'!$S$1)</f>
        <v>0.26291067259285716</v>
      </c>
      <c r="AA90" s="4">
        <f>+'Finished goods'!$O$3*'Project Ostelliere'!T90</f>
        <v>0.55920109621062508</v>
      </c>
      <c r="AB90" s="4">
        <f>+'Finished goods'!P$10*R90</f>
        <v>24</v>
      </c>
      <c r="AC90" s="7">
        <f t="shared" si="52"/>
        <v>47.110987014624541</v>
      </c>
    </row>
    <row r="91" spans="1:29" x14ac:dyDescent="0.3">
      <c r="A91" s="243"/>
      <c r="B91" s="21" t="s">
        <v>122</v>
      </c>
      <c r="C91" s="4" t="str">
        <f t="shared" si="47"/>
        <v>Lampada 90 piccola</v>
      </c>
      <c r="D91" s="5">
        <f>VLOOKUP($C91,'Finished goods'!$A$5:$Q$27,2,FALSE)</f>
        <v>5</v>
      </c>
      <c r="E91" s="5">
        <f>VLOOKUP($C91,'Finished goods'!$A$5:$Q$27,3,FALSE)</f>
        <v>10</v>
      </c>
      <c r="F91" s="5">
        <f>VLOOKUP($C91,'Finished goods'!$A$5:$Q$27,4,FALSE)</f>
        <v>1.1499999999999999</v>
      </c>
      <c r="G91" s="5">
        <f>VLOOKUP($C91,'Finished goods'!$A$5:$Q$27,5,FALSE)</f>
        <v>75</v>
      </c>
      <c r="H91" s="8">
        <f>VLOOKUP($C91,'Finished goods'!$A$5:$Q$27,6,FALSE)</f>
        <v>8.1557296000000004E-4</v>
      </c>
      <c r="I91" s="9">
        <f>VLOOKUP($C91,'Finished goods'!$A$5:$Q$27,7,FALSE)</f>
        <v>2.2654804444444445</v>
      </c>
      <c r="J91" s="9">
        <f>VLOOKUP($C91,'Finished goods'!$A$5:$Q$27,8,FALSE)</f>
        <v>2.0389324000000002</v>
      </c>
      <c r="R91" s="23">
        <v>6</v>
      </c>
      <c r="S91" s="6">
        <f t="shared" si="45"/>
        <v>450</v>
      </c>
      <c r="T91" s="6">
        <f t="shared" si="46"/>
        <v>13.592882666666668</v>
      </c>
      <c r="U91" s="4">
        <f t="shared" si="48"/>
        <v>12.233594400000001</v>
      </c>
      <c r="V91" s="16">
        <f>+S91*$M$3/'COST DATA'!$D$26</f>
        <v>3.8079532454339997</v>
      </c>
      <c r="W91" s="16">
        <f t="shared" si="49"/>
        <v>8.3053872381600002E-2</v>
      </c>
      <c r="X91" s="27">
        <f t="shared" si="50"/>
        <v>70.875000000000014</v>
      </c>
      <c r="Y91" s="27">
        <f t="shared" si="51"/>
        <v>26.496138996138995</v>
      </c>
      <c r="Z91" s="4">
        <f>+(S91/$S$3)*('Finished goods'!$Q$3*'Project Ostelliere'!$S$1)</f>
        <v>1.1950485117857144</v>
      </c>
      <c r="AA91" s="4">
        <f>+'Finished goods'!$O$3*'Project Ostelliere'!T91</f>
        <v>1.5757045309769298</v>
      </c>
      <c r="AB91" s="4">
        <f>+'Finished goods'!P$11*R91</f>
        <v>144</v>
      </c>
      <c r="AC91" s="7">
        <f t="shared" si="52"/>
        <v>248.03289915671726</v>
      </c>
    </row>
    <row r="92" spans="1:29" x14ac:dyDescent="0.3">
      <c r="A92" s="243"/>
      <c r="B92" s="21" t="s">
        <v>122</v>
      </c>
      <c r="C92" s="4" t="str">
        <f t="shared" si="47"/>
        <v>Vaso Logo</v>
      </c>
      <c r="D92" s="5">
        <f>VLOOKUP($C92,'Finished goods'!$A$5:$Q$27,2,FALSE)</f>
        <v>5</v>
      </c>
      <c r="E92" s="5">
        <f>VLOOKUP($C92,'Finished goods'!$A$5:$Q$27,3,FALSE)</f>
        <v>10</v>
      </c>
      <c r="F92" s="5">
        <f>VLOOKUP($C92,'Finished goods'!$A$5:$Q$27,4,FALSE)</f>
        <v>0.39</v>
      </c>
      <c r="G92" s="5">
        <f>VLOOKUP($C92,'Finished goods'!$A$5:$Q$27,5,FALSE)</f>
        <v>39</v>
      </c>
      <c r="H92" s="8">
        <f>VLOOKUP($C92,'Finished goods'!$A$5:$Q$27,6,FALSE)</f>
        <v>1.1639584900000001E-3</v>
      </c>
      <c r="I92" s="9">
        <f>VLOOKUP($C92,'Finished goods'!$A$5:$Q$27,7,FALSE)</f>
        <v>3.2332180277777778</v>
      </c>
      <c r="J92" s="9">
        <f>VLOOKUP($C92,'Finished goods'!$A$5:$Q$27,8,FALSE)</f>
        <v>2.9098962250000002</v>
      </c>
      <c r="R92" s="23">
        <v>3</v>
      </c>
      <c r="S92" s="6">
        <f t="shared" si="45"/>
        <v>117</v>
      </c>
      <c r="T92" s="6">
        <f t="shared" si="46"/>
        <v>9.6996540833333338</v>
      </c>
      <c r="U92" s="4">
        <f t="shared" si="48"/>
        <v>8.7296886750000002</v>
      </c>
      <c r="V92" s="16">
        <f>+S92*$M$3/'COST DATA'!$D$26</f>
        <v>0.99006784381283996</v>
      </c>
      <c r="W92" s="16">
        <f t="shared" si="49"/>
        <v>5.9265856414574998E-2</v>
      </c>
      <c r="X92" s="27">
        <f t="shared" si="50"/>
        <v>18.427500000000002</v>
      </c>
      <c r="Y92" s="27">
        <f t="shared" si="51"/>
        <v>6.8889961389961387</v>
      </c>
      <c r="Z92" s="4">
        <f>+(S92/$S$3)*('Finished goods'!$Q$3*'Project Ostelliere'!$S$1)</f>
        <v>0.31071261306428571</v>
      </c>
      <c r="AA92" s="4">
        <f>+'Finished goods'!$O$3*'Project Ostelliere'!T92</f>
        <v>1.1243964406091058</v>
      </c>
      <c r="AB92" s="4"/>
      <c r="AC92" s="7">
        <f t="shared" si="52"/>
        <v>27.800938892896948</v>
      </c>
    </row>
    <row r="93" spans="1:29" x14ac:dyDescent="0.3">
      <c r="A93" s="243"/>
      <c r="B93" s="21" t="s">
        <v>122</v>
      </c>
      <c r="C93" s="4" t="str">
        <f t="shared" si="47"/>
        <v>Copri candela</v>
      </c>
      <c r="D93" s="5">
        <f>VLOOKUP($C93,'Finished goods'!$A$5:$Q$27,2,FALSE)</f>
        <v>4</v>
      </c>
      <c r="E93" s="5">
        <f>VLOOKUP($C93,'Finished goods'!$A$5:$Q$27,3,FALSE)</f>
        <v>5</v>
      </c>
      <c r="F93" s="5">
        <f>VLOOKUP($C93,'Finished goods'!$A$5:$Q$27,4,FALSE)</f>
        <v>0.34</v>
      </c>
      <c r="G93" s="5">
        <f>VLOOKUP($C93,'Finished goods'!$A$5:$Q$27,5,FALSE)</f>
        <v>34</v>
      </c>
      <c r="H93" s="8">
        <f>VLOOKUP($C93,'Finished goods'!$A$5:$Q$27,6,FALSE)</f>
        <v>2.3780405299999999E-4</v>
      </c>
      <c r="I93" s="9">
        <f>VLOOKUP($C93,'Finished goods'!$A$5:$Q$27,7,FALSE)</f>
        <v>0.66056681388888883</v>
      </c>
      <c r="J93" s="9">
        <f>VLOOKUP($C93,'Finished goods'!$A$5:$Q$27,8,FALSE)</f>
        <v>0.59451013249999995</v>
      </c>
      <c r="R93" s="23">
        <v>15</v>
      </c>
      <c r="S93" s="6">
        <f t="shared" si="45"/>
        <v>510</v>
      </c>
      <c r="T93" s="6">
        <f t="shared" si="46"/>
        <v>9.9085022083333332</v>
      </c>
      <c r="U93" s="4">
        <f t="shared" si="48"/>
        <v>8.9176519874999993</v>
      </c>
      <c r="V93" s="16">
        <f>+S93*$M$3/'COST DATA'!$D$26</f>
        <v>4.3156803448251999</v>
      </c>
      <c r="W93" s="16">
        <f t="shared" si="49"/>
        <v>6.0541939343137494E-2</v>
      </c>
      <c r="X93" s="27">
        <f t="shared" si="50"/>
        <v>80.325000000000017</v>
      </c>
      <c r="Y93" s="27">
        <f t="shared" si="51"/>
        <v>30.02895752895753</v>
      </c>
      <c r="Z93" s="4">
        <f>+(S93/$S$3)*('Finished goods'!$Q$3*'Project Ostelliere'!$S$1)</f>
        <v>1.3543883133571428</v>
      </c>
      <c r="AA93" s="4">
        <f>+'Finished goods'!$O$3*'Project Ostelliere'!T93</f>
        <v>1.1486063852484083</v>
      </c>
      <c r="AB93" s="4"/>
      <c r="AC93" s="7">
        <f t="shared" si="52"/>
        <v>117.23317451173145</v>
      </c>
    </row>
    <row r="94" spans="1:29" x14ac:dyDescent="0.3">
      <c r="A94" s="244"/>
      <c r="B94" s="21" t="s">
        <v>122</v>
      </c>
      <c r="C94" s="4" t="str">
        <f t="shared" si="47"/>
        <v xml:space="preserve">Vaso Grosso </v>
      </c>
      <c r="D94" s="5">
        <f>VLOOKUP($C94,'Finished goods'!$A$5:$Q$27,2,FALSE)</f>
        <v>4</v>
      </c>
      <c r="E94" s="5">
        <f>VLOOKUP($C94,'Finished goods'!$A$5:$Q$27,3,FALSE)</f>
        <v>5</v>
      </c>
      <c r="F94" s="5">
        <f>VLOOKUP($C94,'Finished goods'!$A$5:$Q$27,4,FALSE)</f>
        <v>1.31</v>
      </c>
      <c r="G94" s="5">
        <f>VLOOKUP($C94,'Finished goods'!$A$5:$Q$27,5,FALSE)</f>
        <v>91</v>
      </c>
      <c r="H94" s="8">
        <f>VLOOKUP($C94,'Finished goods'!$A$5:$Q$27,6,FALSE)</f>
        <v>9.52764444E-4</v>
      </c>
      <c r="I94" s="9">
        <f>VLOOKUP($C94,'Finished goods'!$A$5:$Q$27,7,FALSE)</f>
        <v>2.6465679</v>
      </c>
      <c r="J94" s="9">
        <f>VLOOKUP($C94,'Finished goods'!$A$5:$Q$27,8,FALSE)</f>
        <v>2.3819111099999999</v>
      </c>
      <c r="R94" s="23">
        <v>2</v>
      </c>
      <c r="S94" s="6">
        <f t="shared" si="45"/>
        <v>182</v>
      </c>
      <c r="T94" s="6">
        <f t="shared" si="46"/>
        <v>5.2931357999999999</v>
      </c>
      <c r="U94" s="4">
        <f t="shared" si="48"/>
        <v>4.7638222199999998</v>
      </c>
      <c r="V94" s="16">
        <f>+S94*$M$3/'COST DATA'!$D$26</f>
        <v>1.5401055348199733</v>
      </c>
      <c r="W94" s="16">
        <f t="shared" si="49"/>
        <v>3.2341589051580001E-2</v>
      </c>
      <c r="X94" s="27">
        <f t="shared" si="50"/>
        <v>28.665000000000006</v>
      </c>
      <c r="Y94" s="27">
        <f t="shared" si="51"/>
        <v>10.716216216216216</v>
      </c>
      <c r="Z94" s="4">
        <f>+(S94/$S$3)*('Finished goods'!$Q$3*'Project Ostelliere'!$S$1)</f>
        <v>0.48333073143333333</v>
      </c>
      <c r="AA94" s="4">
        <f>+'Finished goods'!$O$3*'Project Ostelliere'!T94</f>
        <v>0.61358714465983732</v>
      </c>
      <c r="AB94" s="4"/>
      <c r="AC94" s="7">
        <f t="shared" si="52"/>
        <v>42.050581216180944</v>
      </c>
    </row>
    <row r="97" spans="1:29" ht="18" x14ac:dyDescent="0.35">
      <c r="D97" s="237" t="s">
        <v>40</v>
      </c>
      <c r="E97" s="237"/>
      <c r="F97" s="237"/>
      <c r="G97" s="23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4" t="s">
        <v>32</v>
      </c>
      <c r="S97" s="47">
        <f>+S99/60/7</f>
        <v>8.2238095238095248</v>
      </c>
      <c r="T97" t="s">
        <v>83</v>
      </c>
    </row>
    <row r="98" spans="1:29" x14ac:dyDescent="0.3">
      <c r="D98" s="236" t="s">
        <v>33</v>
      </c>
      <c r="E98" s="236"/>
      <c r="F98" s="236"/>
      <c r="G98" s="236"/>
      <c r="H98" s="236"/>
      <c r="I98" s="236"/>
      <c r="J98" s="236"/>
      <c r="M98" s="236" t="s">
        <v>36</v>
      </c>
      <c r="N98" s="236"/>
      <c r="O98" s="236"/>
      <c r="P98" s="236"/>
      <c r="Q98" s="236"/>
      <c r="V98" s="241" t="s">
        <v>41</v>
      </c>
      <c r="W98" s="241"/>
      <c r="X98" s="241"/>
      <c r="Y98" s="241"/>
      <c r="Z98" s="241"/>
      <c r="AA98" s="241"/>
      <c r="AB98" s="241"/>
      <c r="AC98" s="241"/>
    </row>
    <row r="99" spans="1:29" ht="18" x14ac:dyDescent="0.35">
      <c r="F99" s="225" t="s">
        <v>44</v>
      </c>
      <c r="G99" s="225"/>
      <c r="I99" s="20">
        <f>SUBTOTAL(9,I101:I110)</f>
        <v>51.856758661111115</v>
      </c>
      <c r="J99" s="20">
        <f>SUBTOTAL(9,J101:J110)</f>
        <v>46.67108279499999</v>
      </c>
      <c r="K99" s="1">
        <f>+'Finished goods'!$I$3</f>
        <v>2500</v>
      </c>
      <c r="L99" s="1">
        <f>+'Finished goods'!$J$3</f>
        <v>0.9</v>
      </c>
      <c r="M99" s="15">
        <f>+'Finished goods'!$K$3</f>
        <v>0.50772709939119998</v>
      </c>
      <c r="N99" s="15">
        <f>+'Finished goods'!$L$3</f>
        <v>6.7889999999999999E-3</v>
      </c>
      <c r="O99" s="13">
        <f>+'Finished goods'!$M$3</f>
        <v>0.15750000000000003</v>
      </c>
      <c r="P99" s="46">
        <f>+'Finished goods'!$N$3</f>
        <v>5.8880308880308881E-2</v>
      </c>
      <c r="Q99" s="1"/>
      <c r="S99" s="17">
        <f t="shared" ref="S99:AC99" si="53">SUBTOTAL(9,S101:S110)</f>
        <v>3454</v>
      </c>
      <c r="T99" s="17">
        <f t="shared" si="53"/>
        <v>119.7720534861111</v>
      </c>
      <c r="U99" s="17">
        <f t="shared" si="53"/>
        <v>107.7948481375</v>
      </c>
      <c r="V99" s="18">
        <f t="shared" si="53"/>
        <v>29.228156688286745</v>
      </c>
      <c r="W99" s="18">
        <f t="shared" si="53"/>
        <v>0.73181922400548749</v>
      </c>
      <c r="X99" s="18">
        <f t="shared" si="53"/>
        <v>544.00500000000011</v>
      </c>
      <c r="Y99" s="18">
        <f t="shared" si="53"/>
        <v>203.37258687258691</v>
      </c>
      <c r="Z99" s="18">
        <f t="shared" si="53"/>
        <v>9.1726612437952397</v>
      </c>
      <c r="AA99" s="18">
        <f t="shared" si="53"/>
        <v>13.884131275941989</v>
      </c>
      <c r="AB99" s="18">
        <f t="shared" si="53"/>
        <v>468</v>
      </c>
      <c r="AC99" s="19">
        <f t="shared" si="53"/>
        <v>1268.3943553046165</v>
      </c>
    </row>
    <row r="100" spans="1:29" x14ac:dyDescent="0.3">
      <c r="A100" s="1" t="s">
        <v>145</v>
      </c>
      <c r="B100" s="1" t="s">
        <v>30</v>
      </c>
      <c r="C100" s="1" t="s">
        <v>0</v>
      </c>
      <c r="D100" s="1" t="s">
        <v>4</v>
      </c>
      <c r="E100" s="1" t="s">
        <v>5</v>
      </c>
      <c r="F100" s="1" t="s">
        <v>45</v>
      </c>
      <c r="G100" s="1" t="s">
        <v>57</v>
      </c>
      <c r="H100" s="1" t="s">
        <v>6</v>
      </c>
      <c r="I100" s="1" t="s">
        <v>2</v>
      </c>
      <c r="J100" s="1" t="s">
        <v>7</v>
      </c>
      <c r="K100" s="1" t="s">
        <v>31</v>
      </c>
      <c r="L100" s="1" t="s">
        <v>8</v>
      </c>
      <c r="M100" s="1" t="s">
        <v>34</v>
      </c>
      <c r="N100" s="1" t="s">
        <v>35</v>
      </c>
      <c r="O100" s="1" t="s">
        <v>37</v>
      </c>
      <c r="P100" s="1" t="s">
        <v>79</v>
      </c>
      <c r="Q100" s="1" t="s">
        <v>38</v>
      </c>
      <c r="R100" s="1" t="s">
        <v>39</v>
      </c>
      <c r="S100" s="2" t="s">
        <v>43</v>
      </c>
      <c r="T100" s="2" t="s">
        <v>2</v>
      </c>
      <c r="U100" s="2" t="s">
        <v>7</v>
      </c>
      <c r="V100" s="2">
        <f>+'Finished goods'!K100</f>
        <v>0</v>
      </c>
      <c r="W100" s="2">
        <f>+'Finished goods'!L100</f>
        <v>0</v>
      </c>
      <c r="X100" s="2">
        <f>+'Finished goods'!M100</f>
        <v>0</v>
      </c>
      <c r="Y100" s="2">
        <f>+'Finished goods'!N100</f>
        <v>0</v>
      </c>
      <c r="Z100" s="2">
        <f>+'Finished goods'!Q100</f>
        <v>0</v>
      </c>
      <c r="AA100" s="3" t="s">
        <v>111</v>
      </c>
      <c r="AB100" s="3" t="s">
        <v>115</v>
      </c>
      <c r="AC100" s="3" t="s">
        <v>42</v>
      </c>
    </row>
    <row r="101" spans="1:29" ht="14.4" customHeight="1" x14ac:dyDescent="0.3">
      <c r="A101" s="242" t="s">
        <v>417</v>
      </c>
      <c r="B101" s="21" t="s">
        <v>122</v>
      </c>
      <c r="C101" s="4" t="str">
        <f>+C85</f>
        <v>Tavolo twist Logo</v>
      </c>
      <c r="D101" s="5">
        <f>VLOOKUP($C101,'Finished goods'!$A$5:$Q$27,2,FALSE)</f>
        <v>8</v>
      </c>
      <c r="E101" s="5">
        <f>VLOOKUP($C101,'Finished goods'!$A$5:$Q$27,3,FALSE)</f>
        <v>10</v>
      </c>
      <c r="F101" s="5">
        <f>VLOOKUP($C101,'Finished goods'!$A$5:$Q$27,4,FALSE)</f>
        <v>1.22</v>
      </c>
      <c r="G101" s="5">
        <f>VLOOKUP($C101,'Finished goods'!$A$5:$Q$27,5,FALSE)</f>
        <v>82</v>
      </c>
      <c r="H101" s="8">
        <f>VLOOKUP($C101,'Finished goods'!$A$5:$Q$27,6,FALSE)</f>
        <v>7.9769999999999997E-3</v>
      </c>
      <c r="I101" s="9">
        <f>VLOOKUP($C101,'Finished goods'!$A$5:$Q$27,7,FALSE)</f>
        <v>22.158333333333331</v>
      </c>
      <c r="J101" s="9">
        <f>VLOOKUP($C101,'Finished goods'!$A$5:$Q$27,8,FALSE)</f>
        <v>19.942499999999999</v>
      </c>
      <c r="R101" s="23">
        <v>2</v>
      </c>
      <c r="S101" s="6">
        <f t="shared" ref="S101:S110" si="54">+G101*$R101</f>
        <v>164</v>
      </c>
      <c r="T101" s="6">
        <f t="shared" ref="T101:T110" si="55">+I101*$R101</f>
        <v>44.316666666666663</v>
      </c>
      <c r="U101" s="4">
        <f>+J101*$R101</f>
        <v>39.884999999999998</v>
      </c>
      <c r="V101" s="16">
        <f>+S101*$M$3/'COST DATA'!$D$26</f>
        <v>1.3877874050026131</v>
      </c>
      <c r="W101" s="16">
        <f>+U101*$N$3</f>
        <v>0.27077926499999999</v>
      </c>
      <c r="X101" s="27">
        <f>+S101*$O$3</f>
        <v>25.830000000000005</v>
      </c>
      <c r="Y101" s="27">
        <f>+S101*$P$3</f>
        <v>9.6563706563706564</v>
      </c>
      <c r="Z101" s="4">
        <f>+(S101/$S$3)*('Finished goods'!$Q$3*'Project Ostelliere'!$S$1)</f>
        <v>0.43552879096190478</v>
      </c>
      <c r="AA101" s="4">
        <f>+'Finished goods'!$O$3*'Project Ostelliere'!T101</f>
        <v>5.1372452905594805</v>
      </c>
      <c r="AB101" s="4">
        <f>+'Finished goods'!P$5*R101</f>
        <v>300</v>
      </c>
      <c r="AC101" s="7">
        <f>+V101+W101+X101+Y101+Z101+AA101+AB101</f>
        <v>342.71771140789463</v>
      </c>
    </row>
    <row r="102" spans="1:29" x14ac:dyDescent="0.3">
      <c r="A102" s="243"/>
      <c r="B102" s="21" t="s">
        <v>122</v>
      </c>
      <c r="C102" s="4" t="str">
        <f t="shared" ref="C102:C110" si="56">+C86</f>
        <v xml:space="preserve">Vaso bitorzolo curvo </v>
      </c>
      <c r="D102" s="5">
        <f>VLOOKUP($C102,'Finished goods'!$A$5:$Q$27,2,FALSE)</f>
        <v>4</v>
      </c>
      <c r="E102" s="5">
        <f>VLOOKUP($C102,'Finished goods'!$A$5:$Q$27,3,FALSE)</f>
        <v>2</v>
      </c>
      <c r="F102" s="5">
        <f>VLOOKUP($C102,'Finished goods'!$A$5:$Q$27,4,FALSE)</f>
        <v>5.21</v>
      </c>
      <c r="G102" s="5">
        <f>VLOOKUP($C102,'Finished goods'!$A$5:$Q$27,5,FALSE)</f>
        <v>321</v>
      </c>
      <c r="H102" s="8">
        <f>VLOOKUP($C102,'Finished goods'!$A$5:$Q$27,6,FALSE)</f>
        <v>6.0029599999999995E-4</v>
      </c>
      <c r="I102" s="9">
        <f>VLOOKUP($C102,'Finished goods'!$A$5:$Q$27,7,FALSE)</f>
        <v>1.6674888888888888</v>
      </c>
      <c r="J102" s="9">
        <f>VLOOKUP($C102,'Finished goods'!$A$5:$Q$27,8,FALSE)</f>
        <v>1.50074</v>
      </c>
      <c r="R102" s="23">
        <v>2</v>
      </c>
      <c r="S102" s="6">
        <f t="shared" si="54"/>
        <v>642</v>
      </c>
      <c r="T102" s="6">
        <f t="shared" si="55"/>
        <v>3.3349777777777776</v>
      </c>
      <c r="U102" s="4">
        <f t="shared" ref="U102:U110" si="57">+J102*$R102</f>
        <v>3.0014799999999999</v>
      </c>
      <c r="V102" s="16">
        <f>+S102*$M$3/'COST DATA'!$D$26</f>
        <v>5.4326799634858398</v>
      </c>
      <c r="W102" s="16">
        <f t="shared" ref="W102:W110" si="58">+U102*$N$3</f>
        <v>2.0377047719999999E-2</v>
      </c>
      <c r="X102" s="27">
        <f t="shared" ref="X102:X110" si="59">+S102*$O$3</f>
        <v>101.11500000000002</v>
      </c>
      <c r="Y102" s="27">
        <f t="shared" ref="Y102:Y110" si="60">+S102*$P$3</f>
        <v>37.801158301158303</v>
      </c>
      <c r="Z102" s="4">
        <f>+(S102/$S$3)*('Finished goods'!$Q$3*'Project Ostelliere'!$S$1)</f>
        <v>1.7049358768142857</v>
      </c>
      <c r="AA102" s="4">
        <f>+'Finished goods'!$O$3*'Project Ostelliere'!T102</f>
        <v>0.38659493530671857</v>
      </c>
      <c r="AB102" s="4"/>
      <c r="AC102" s="7">
        <f t="shared" ref="AC102:AC110" si="61">+V102+W102+X102+Y102+Z102+AA102+AB102</f>
        <v>146.46074612448518</v>
      </c>
    </row>
    <row r="103" spans="1:29" x14ac:dyDescent="0.3">
      <c r="A103" s="243"/>
      <c r="B103" s="21" t="s">
        <v>122</v>
      </c>
      <c r="C103" s="4" t="str">
        <f t="shared" si="56"/>
        <v>Vaso bitorzolo twist</v>
      </c>
      <c r="D103" s="5">
        <f>VLOOKUP($C103,'Finished goods'!$A$5:$Q$27,2,FALSE)</f>
        <v>4</v>
      </c>
      <c r="E103" s="5">
        <f>VLOOKUP($C103,'Finished goods'!$A$5:$Q$27,3,FALSE)</f>
        <v>2</v>
      </c>
      <c r="F103" s="5">
        <f>VLOOKUP($C103,'Finished goods'!$A$5:$Q$27,4,FALSE)</f>
        <v>5.15</v>
      </c>
      <c r="G103" s="5">
        <f>VLOOKUP($C103,'Finished goods'!$A$5:$Q$27,5,FALSE)</f>
        <v>315</v>
      </c>
      <c r="H103" s="8">
        <f>VLOOKUP($C103,'Finished goods'!$A$5:$Q$27,6,FALSE)</f>
        <v>8.005105E-4</v>
      </c>
      <c r="I103" s="9">
        <f>VLOOKUP($C103,'Finished goods'!$A$5:$Q$27,7,FALSE)</f>
        <v>2.2236402777777777</v>
      </c>
      <c r="J103" s="9">
        <f>VLOOKUP($C103,'Finished goods'!$A$5:$Q$27,8,FALSE)</f>
        <v>2.0012762500000001</v>
      </c>
      <c r="R103" s="23">
        <v>2</v>
      </c>
      <c r="S103" s="6">
        <f t="shared" si="54"/>
        <v>630</v>
      </c>
      <c r="T103" s="6">
        <f t="shared" si="55"/>
        <v>4.4472805555555555</v>
      </c>
      <c r="U103" s="4">
        <f t="shared" si="57"/>
        <v>4.0025525000000002</v>
      </c>
      <c r="V103" s="16">
        <f>+S103*$M$3/'COST DATA'!$D$26</f>
        <v>5.3311345436076003</v>
      </c>
      <c r="W103" s="16">
        <f t="shared" si="58"/>
        <v>2.71733289225E-2</v>
      </c>
      <c r="X103" s="27">
        <f t="shared" si="59"/>
        <v>99.225000000000023</v>
      </c>
      <c r="Y103" s="27">
        <f t="shared" si="60"/>
        <v>37.094594594594597</v>
      </c>
      <c r="Z103" s="4">
        <f>+(S103/$S$3)*('Finished goods'!$Q$3*'Project Ostelliere'!$S$1)</f>
        <v>1.6730679165000002</v>
      </c>
      <c r="AA103" s="4">
        <f>+'Finished goods'!$O$3*'Project Ostelliere'!T103</f>
        <v>0.51553451124086935</v>
      </c>
      <c r="AB103" s="4"/>
      <c r="AC103" s="7">
        <f t="shared" si="61"/>
        <v>143.86650489486561</v>
      </c>
    </row>
    <row r="104" spans="1:29" x14ac:dyDescent="0.3">
      <c r="A104" s="243"/>
      <c r="B104" s="21" t="s">
        <v>122</v>
      </c>
      <c r="C104" s="4" t="str">
        <f t="shared" si="56"/>
        <v>Vaso bitorzolo dritto</v>
      </c>
      <c r="D104" s="5">
        <f>VLOOKUP($C104,'Finished goods'!$A$5:$Q$27,2,FALSE)</f>
        <v>4</v>
      </c>
      <c r="E104" s="5">
        <f>VLOOKUP($C104,'Finished goods'!$A$5:$Q$27,3,FALSE)</f>
        <v>2</v>
      </c>
      <c r="F104" s="5">
        <f>VLOOKUP($C104,'Finished goods'!$A$5:$Q$27,4,FALSE)</f>
        <v>4.4800000000000004</v>
      </c>
      <c r="G104" s="5">
        <f>VLOOKUP($C104,'Finished goods'!$A$5:$Q$27,5,FALSE)</f>
        <v>288</v>
      </c>
      <c r="H104" s="8">
        <f>VLOOKUP($C104,'Finished goods'!$A$5:$Q$27,6,FALSE)</f>
        <v>8.2321687099999998E-4</v>
      </c>
      <c r="I104" s="9">
        <f>VLOOKUP($C104,'Finished goods'!$A$5:$Q$27,7,FALSE)</f>
        <v>2.2867135305555553</v>
      </c>
      <c r="J104" s="9">
        <f>VLOOKUP($C104,'Finished goods'!$A$5:$Q$27,8,FALSE)</f>
        <v>2.0580421775</v>
      </c>
      <c r="R104" s="23">
        <v>2</v>
      </c>
      <c r="S104" s="6">
        <f t="shared" si="54"/>
        <v>576</v>
      </c>
      <c r="T104" s="6">
        <f t="shared" si="55"/>
        <v>4.5734270611111105</v>
      </c>
      <c r="U104" s="4">
        <f t="shared" si="57"/>
        <v>4.1160843549999999</v>
      </c>
      <c r="V104" s="16">
        <f>+S104*$M$3/'COST DATA'!$D$26</f>
        <v>4.8741801541555203</v>
      </c>
      <c r="W104" s="16">
        <f t="shared" si="58"/>
        <v>2.7944096686094998E-2</v>
      </c>
      <c r="X104" s="27">
        <f t="shared" si="59"/>
        <v>90.720000000000013</v>
      </c>
      <c r="Y104" s="27">
        <f t="shared" si="60"/>
        <v>33.915057915057915</v>
      </c>
      <c r="Z104" s="4">
        <f>+(S104/$S$3)*('Finished goods'!$Q$3*'Project Ostelliere'!$S$1)</f>
        <v>1.5296620950857143</v>
      </c>
      <c r="AA104" s="4">
        <f>+'Finished goods'!$O$3*'Project Ostelliere'!T104</f>
        <v>0.53015757724130141</v>
      </c>
      <c r="AB104" s="4"/>
      <c r="AC104" s="7">
        <f t="shared" si="61"/>
        <v>131.59700183822656</v>
      </c>
    </row>
    <row r="105" spans="1:29" x14ac:dyDescent="0.3">
      <c r="A105" s="243"/>
      <c r="B105" s="21" t="s">
        <v>122</v>
      </c>
      <c r="C105" s="4" t="str">
        <f t="shared" si="56"/>
        <v>Porta riviste</v>
      </c>
      <c r="D105" s="5">
        <f>VLOOKUP($C105,'Finished goods'!$A$5:$Q$27,2,FALSE)</f>
        <v>10</v>
      </c>
      <c r="E105" s="5">
        <f>VLOOKUP($C105,'Finished goods'!$A$5:$Q$27,3,FALSE)</f>
        <v>10</v>
      </c>
      <c r="F105" s="5">
        <f>VLOOKUP($C105,'Finished goods'!$A$5:$Q$27,4,FALSE)</f>
        <v>0.42</v>
      </c>
      <c r="G105" s="5">
        <f>VLOOKUP($C105,'Finished goods'!$A$5:$Q$27,5,FALSE)</f>
        <v>42</v>
      </c>
      <c r="H105" s="8">
        <f>VLOOKUP($C105,'Finished goods'!$A$5:$Q$27,6,FALSE)</f>
        <v>3.5606798E-3</v>
      </c>
      <c r="I105" s="9">
        <f>VLOOKUP($C105,'Finished goods'!$A$5:$Q$27,7,FALSE)</f>
        <v>9.890777222222221</v>
      </c>
      <c r="J105" s="9">
        <f>VLOOKUP($C105,'Finished goods'!$A$5:$Q$27,8,FALSE)</f>
        <v>8.9016994999999994</v>
      </c>
      <c r="R105" s="23">
        <v>2</v>
      </c>
      <c r="S105" s="6">
        <f t="shared" si="54"/>
        <v>84</v>
      </c>
      <c r="T105" s="6">
        <f t="shared" si="55"/>
        <v>19.781554444444442</v>
      </c>
      <c r="U105" s="4">
        <f t="shared" si="57"/>
        <v>17.803398999999999</v>
      </c>
      <c r="V105" s="16">
        <f>+S105*$M$3/'COST DATA'!$D$26</f>
        <v>0.71081793914767988</v>
      </c>
      <c r="W105" s="16">
        <f t="shared" si="58"/>
        <v>0.12086727581099999</v>
      </c>
      <c r="X105" s="27">
        <f t="shared" si="59"/>
        <v>13.230000000000002</v>
      </c>
      <c r="Y105" s="27">
        <f t="shared" si="60"/>
        <v>4.9459459459459456</v>
      </c>
      <c r="Z105" s="4">
        <f>+(S105/$S$3)*('Finished goods'!$Q$3*'Project Ostelliere'!$S$1)</f>
        <v>0.22307572219999999</v>
      </c>
      <c r="AA105" s="4">
        <f>+'Finished goods'!$O$3*'Project Ostelliere'!T105</f>
        <v>2.2931033638887142</v>
      </c>
      <c r="AB105" s="4"/>
      <c r="AC105" s="7">
        <f t="shared" si="61"/>
        <v>21.523810246993346</v>
      </c>
    </row>
    <row r="106" spans="1:29" x14ac:dyDescent="0.3">
      <c r="A106" s="243"/>
      <c r="B106" s="21" t="s">
        <v>122</v>
      </c>
      <c r="C106" s="4" t="str">
        <f t="shared" si="56"/>
        <v>Lampada 90 grossa</v>
      </c>
      <c r="D106" s="5">
        <f>VLOOKUP($C106,'Finished goods'!$A$5:$Q$27,2,FALSE)</f>
        <v>8</v>
      </c>
      <c r="E106" s="5">
        <f>VLOOKUP($C106,'Finished goods'!$A$5:$Q$27,3,FALSE)</f>
        <v>10</v>
      </c>
      <c r="F106" s="5">
        <f>VLOOKUP($C106,'Finished goods'!$A$5:$Q$27,4,FALSE)</f>
        <v>1.39</v>
      </c>
      <c r="G106" s="5">
        <f>VLOOKUP($C106,'Finished goods'!$A$5:$Q$27,5,FALSE)</f>
        <v>99</v>
      </c>
      <c r="H106" s="8">
        <f>VLOOKUP($C106,'Finished goods'!$A$5:$Q$27,6,FALSE)</f>
        <v>1.7366300000000001E-3</v>
      </c>
      <c r="I106" s="9">
        <f>VLOOKUP($C106,'Finished goods'!$A$5:$Q$27,7,FALSE)</f>
        <v>4.8239722222222232</v>
      </c>
      <c r="J106" s="9">
        <f>VLOOKUP($C106,'Finished goods'!$A$5:$Q$27,8,FALSE)</f>
        <v>4.3415750000000006</v>
      </c>
      <c r="R106" s="23">
        <v>1</v>
      </c>
      <c r="S106" s="6">
        <f t="shared" si="54"/>
        <v>99</v>
      </c>
      <c r="T106" s="6">
        <f t="shared" si="55"/>
        <v>4.8239722222222232</v>
      </c>
      <c r="U106" s="4">
        <f t="shared" si="57"/>
        <v>4.3415750000000006</v>
      </c>
      <c r="V106" s="16">
        <f>+S106*$M$3/'COST DATA'!$D$26</f>
        <v>0.83774971399547993</v>
      </c>
      <c r="W106" s="16">
        <f t="shared" si="58"/>
        <v>2.9474952675000003E-2</v>
      </c>
      <c r="X106" s="27">
        <f t="shared" si="59"/>
        <v>15.592500000000003</v>
      </c>
      <c r="Y106" s="27">
        <f t="shared" si="60"/>
        <v>5.8291505791505793</v>
      </c>
      <c r="Z106" s="4">
        <f>+(S106/$S$3)*('Finished goods'!$Q$3*'Project Ostelliere'!$S$1)</f>
        <v>0.26291067259285716</v>
      </c>
      <c r="AA106" s="4">
        <f>+'Finished goods'!$O$3*'Project Ostelliere'!T106</f>
        <v>0.55920109621062508</v>
      </c>
      <c r="AB106" s="4">
        <f>+'Finished goods'!P$10*R106</f>
        <v>24</v>
      </c>
      <c r="AC106" s="7">
        <f t="shared" si="61"/>
        <v>47.110987014624541</v>
      </c>
    </row>
    <row r="107" spans="1:29" x14ac:dyDescent="0.3">
      <c r="A107" s="243"/>
      <c r="B107" s="21" t="s">
        <v>122</v>
      </c>
      <c r="C107" s="4" t="str">
        <f t="shared" si="56"/>
        <v>Lampada 90 piccola</v>
      </c>
      <c r="D107" s="5">
        <f>VLOOKUP($C107,'Finished goods'!$A$5:$Q$27,2,FALSE)</f>
        <v>5</v>
      </c>
      <c r="E107" s="5">
        <f>VLOOKUP($C107,'Finished goods'!$A$5:$Q$27,3,FALSE)</f>
        <v>10</v>
      </c>
      <c r="F107" s="5">
        <f>VLOOKUP($C107,'Finished goods'!$A$5:$Q$27,4,FALSE)</f>
        <v>1.1499999999999999</v>
      </c>
      <c r="G107" s="5">
        <f>VLOOKUP($C107,'Finished goods'!$A$5:$Q$27,5,FALSE)</f>
        <v>75</v>
      </c>
      <c r="H107" s="8">
        <f>VLOOKUP($C107,'Finished goods'!$A$5:$Q$27,6,FALSE)</f>
        <v>8.1557296000000004E-4</v>
      </c>
      <c r="I107" s="9">
        <f>VLOOKUP($C107,'Finished goods'!$A$5:$Q$27,7,FALSE)</f>
        <v>2.2654804444444445</v>
      </c>
      <c r="J107" s="9">
        <f>VLOOKUP($C107,'Finished goods'!$A$5:$Q$27,8,FALSE)</f>
        <v>2.0389324000000002</v>
      </c>
      <c r="R107" s="23">
        <v>6</v>
      </c>
      <c r="S107" s="6">
        <f t="shared" si="54"/>
        <v>450</v>
      </c>
      <c r="T107" s="6">
        <f t="shared" si="55"/>
        <v>13.592882666666668</v>
      </c>
      <c r="U107" s="4">
        <f t="shared" si="57"/>
        <v>12.233594400000001</v>
      </c>
      <c r="V107" s="16">
        <f>+S107*$M$3/'COST DATA'!$D$26</f>
        <v>3.8079532454339997</v>
      </c>
      <c r="W107" s="16">
        <f t="shared" si="58"/>
        <v>8.3053872381600002E-2</v>
      </c>
      <c r="X107" s="27">
        <f t="shared" si="59"/>
        <v>70.875000000000014</v>
      </c>
      <c r="Y107" s="27">
        <f t="shared" si="60"/>
        <v>26.496138996138995</v>
      </c>
      <c r="Z107" s="4">
        <f>+(S107/$S$3)*('Finished goods'!$Q$3*'Project Ostelliere'!$S$1)</f>
        <v>1.1950485117857144</v>
      </c>
      <c r="AA107" s="4">
        <f>+'Finished goods'!$O$3*'Project Ostelliere'!T107</f>
        <v>1.5757045309769298</v>
      </c>
      <c r="AB107" s="4">
        <f>+'Finished goods'!P$11*R107</f>
        <v>144</v>
      </c>
      <c r="AC107" s="7">
        <f t="shared" si="61"/>
        <v>248.03289915671726</v>
      </c>
    </row>
    <row r="108" spans="1:29" x14ac:dyDescent="0.3">
      <c r="A108" s="243"/>
      <c r="B108" s="21" t="s">
        <v>122</v>
      </c>
      <c r="C108" s="4" t="str">
        <f t="shared" si="56"/>
        <v>Vaso Logo</v>
      </c>
      <c r="D108" s="5">
        <f>VLOOKUP($C108,'Finished goods'!$A$5:$Q$27,2,FALSE)</f>
        <v>5</v>
      </c>
      <c r="E108" s="5">
        <f>VLOOKUP($C108,'Finished goods'!$A$5:$Q$27,3,FALSE)</f>
        <v>10</v>
      </c>
      <c r="F108" s="5">
        <f>VLOOKUP($C108,'Finished goods'!$A$5:$Q$27,4,FALSE)</f>
        <v>0.39</v>
      </c>
      <c r="G108" s="5">
        <f>VLOOKUP($C108,'Finished goods'!$A$5:$Q$27,5,FALSE)</f>
        <v>39</v>
      </c>
      <c r="H108" s="8">
        <f>VLOOKUP($C108,'Finished goods'!$A$5:$Q$27,6,FALSE)</f>
        <v>1.1639584900000001E-3</v>
      </c>
      <c r="I108" s="9">
        <f>VLOOKUP($C108,'Finished goods'!$A$5:$Q$27,7,FALSE)</f>
        <v>3.2332180277777778</v>
      </c>
      <c r="J108" s="9">
        <f>VLOOKUP($C108,'Finished goods'!$A$5:$Q$27,8,FALSE)</f>
        <v>2.9098962250000002</v>
      </c>
      <c r="R108" s="23">
        <v>3</v>
      </c>
      <c r="S108" s="6">
        <f t="shared" si="54"/>
        <v>117</v>
      </c>
      <c r="T108" s="6">
        <f t="shared" si="55"/>
        <v>9.6996540833333338</v>
      </c>
      <c r="U108" s="4">
        <f t="shared" si="57"/>
        <v>8.7296886750000002</v>
      </c>
      <c r="V108" s="16">
        <f>+S108*$M$3/'COST DATA'!$D$26</f>
        <v>0.99006784381283996</v>
      </c>
      <c r="W108" s="16">
        <f t="shared" si="58"/>
        <v>5.9265856414574998E-2</v>
      </c>
      <c r="X108" s="27">
        <f t="shared" si="59"/>
        <v>18.427500000000002</v>
      </c>
      <c r="Y108" s="27">
        <f t="shared" si="60"/>
        <v>6.8889961389961387</v>
      </c>
      <c r="Z108" s="4">
        <f>+(S108/$S$3)*('Finished goods'!$Q$3*'Project Ostelliere'!$S$1)</f>
        <v>0.31071261306428571</v>
      </c>
      <c r="AA108" s="4">
        <f>+'Finished goods'!$O$3*'Project Ostelliere'!T108</f>
        <v>1.1243964406091058</v>
      </c>
      <c r="AB108" s="4"/>
      <c r="AC108" s="7">
        <f t="shared" si="61"/>
        <v>27.800938892896948</v>
      </c>
    </row>
    <row r="109" spans="1:29" x14ac:dyDescent="0.3">
      <c r="A109" s="243"/>
      <c r="B109" s="21" t="s">
        <v>122</v>
      </c>
      <c r="C109" s="4" t="str">
        <f t="shared" si="56"/>
        <v>Copri candela</v>
      </c>
      <c r="D109" s="5">
        <f>VLOOKUP($C109,'Finished goods'!$A$5:$Q$27,2,FALSE)</f>
        <v>4</v>
      </c>
      <c r="E109" s="5">
        <f>VLOOKUP($C109,'Finished goods'!$A$5:$Q$27,3,FALSE)</f>
        <v>5</v>
      </c>
      <c r="F109" s="5">
        <f>VLOOKUP($C109,'Finished goods'!$A$5:$Q$27,4,FALSE)</f>
        <v>0.34</v>
      </c>
      <c r="G109" s="5">
        <f>VLOOKUP($C109,'Finished goods'!$A$5:$Q$27,5,FALSE)</f>
        <v>34</v>
      </c>
      <c r="H109" s="8">
        <f>VLOOKUP($C109,'Finished goods'!$A$5:$Q$27,6,FALSE)</f>
        <v>2.3780405299999999E-4</v>
      </c>
      <c r="I109" s="9">
        <f>VLOOKUP($C109,'Finished goods'!$A$5:$Q$27,7,FALSE)</f>
        <v>0.66056681388888883</v>
      </c>
      <c r="J109" s="9">
        <f>VLOOKUP($C109,'Finished goods'!$A$5:$Q$27,8,FALSE)</f>
        <v>0.59451013249999995</v>
      </c>
      <c r="R109" s="23">
        <v>15</v>
      </c>
      <c r="S109" s="6">
        <f t="shared" si="54"/>
        <v>510</v>
      </c>
      <c r="T109" s="6">
        <f t="shared" si="55"/>
        <v>9.9085022083333332</v>
      </c>
      <c r="U109" s="4">
        <f t="shared" si="57"/>
        <v>8.9176519874999993</v>
      </c>
      <c r="V109" s="16">
        <f>+S109*$M$3/'COST DATA'!$D$26</f>
        <v>4.3156803448251999</v>
      </c>
      <c r="W109" s="16">
        <f t="shared" si="58"/>
        <v>6.0541939343137494E-2</v>
      </c>
      <c r="X109" s="27">
        <f t="shared" si="59"/>
        <v>80.325000000000017</v>
      </c>
      <c r="Y109" s="27">
        <f t="shared" si="60"/>
        <v>30.02895752895753</v>
      </c>
      <c r="Z109" s="4">
        <f>+(S109/$S$3)*('Finished goods'!$Q$3*'Project Ostelliere'!$S$1)</f>
        <v>1.3543883133571428</v>
      </c>
      <c r="AA109" s="4">
        <f>+'Finished goods'!$O$3*'Project Ostelliere'!T109</f>
        <v>1.1486063852484083</v>
      </c>
      <c r="AB109" s="4"/>
      <c r="AC109" s="7">
        <f t="shared" si="61"/>
        <v>117.23317451173145</v>
      </c>
    </row>
    <row r="110" spans="1:29" x14ac:dyDescent="0.3">
      <c r="A110" s="244"/>
      <c r="B110" s="21" t="s">
        <v>122</v>
      </c>
      <c r="C110" s="4" t="str">
        <f t="shared" si="56"/>
        <v xml:space="preserve">Vaso Grosso </v>
      </c>
      <c r="D110" s="5">
        <f>VLOOKUP($C110,'Finished goods'!$A$5:$Q$27,2,FALSE)</f>
        <v>4</v>
      </c>
      <c r="E110" s="5">
        <f>VLOOKUP($C110,'Finished goods'!$A$5:$Q$27,3,FALSE)</f>
        <v>5</v>
      </c>
      <c r="F110" s="5">
        <f>VLOOKUP($C110,'Finished goods'!$A$5:$Q$27,4,FALSE)</f>
        <v>1.31</v>
      </c>
      <c r="G110" s="5">
        <f>VLOOKUP($C110,'Finished goods'!$A$5:$Q$27,5,FALSE)</f>
        <v>91</v>
      </c>
      <c r="H110" s="8">
        <f>VLOOKUP($C110,'Finished goods'!$A$5:$Q$27,6,FALSE)</f>
        <v>9.52764444E-4</v>
      </c>
      <c r="I110" s="9">
        <f>VLOOKUP($C110,'Finished goods'!$A$5:$Q$27,7,FALSE)</f>
        <v>2.6465679</v>
      </c>
      <c r="J110" s="9">
        <f>VLOOKUP($C110,'Finished goods'!$A$5:$Q$27,8,FALSE)</f>
        <v>2.3819111099999999</v>
      </c>
      <c r="R110" s="23">
        <v>2</v>
      </c>
      <c r="S110" s="6">
        <f t="shared" si="54"/>
        <v>182</v>
      </c>
      <c r="T110" s="6">
        <f t="shared" si="55"/>
        <v>5.2931357999999999</v>
      </c>
      <c r="U110" s="4">
        <f t="shared" si="57"/>
        <v>4.7638222199999998</v>
      </c>
      <c r="V110" s="16">
        <f>+S110*$M$3/'COST DATA'!$D$26</f>
        <v>1.5401055348199733</v>
      </c>
      <c r="W110" s="16">
        <f t="shared" si="58"/>
        <v>3.2341589051580001E-2</v>
      </c>
      <c r="X110" s="27">
        <f t="shared" si="59"/>
        <v>28.665000000000006</v>
      </c>
      <c r="Y110" s="27">
        <f t="shared" si="60"/>
        <v>10.716216216216216</v>
      </c>
      <c r="Z110" s="4">
        <f>+(S110/$S$3)*('Finished goods'!$Q$3*'Project Ostelliere'!$S$1)</f>
        <v>0.48333073143333333</v>
      </c>
      <c r="AA110" s="4">
        <f>+'Finished goods'!$O$3*'Project Ostelliere'!T110</f>
        <v>0.61358714465983732</v>
      </c>
      <c r="AB110" s="4"/>
      <c r="AC110" s="7">
        <f t="shared" si="61"/>
        <v>42.050581216180944</v>
      </c>
    </row>
    <row r="113" spans="1:29" ht="18" x14ac:dyDescent="0.35">
      <c r="D113" s="237" t="s">
        <v>40</v>
      </c>
      <c r="E113" s="237"/>
      <c r="F113" s="237"/>
      <c r="G113" s="237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4" t="s">
        <v>32</v>
      </c>
      <c r="S113" s="47">
        <f>+S115/60/7</f>
        <v>8.2238095238095248</v>
      </c>
      <c r="T113" t="s">
        <v>83</v>
      </c>
    </row>
    <row r="114" spans="1:29" x14ac:dyDescent="0.3">
      <c r="D114" s="236" t="s">
        <v>33</v>
      </c>
      <c r="E114" s="236"/>
      <c r="F114" s="236"/>
      <c r="G114" s="236"/>
      <c r="H114" s="236"/>
      <c r="I114" s="236"/>
      <c r="J114" s="236"/>
      <c r="M114" s="236" t="s">
        <v>36</v>
      </c>
      <c r="N114" s="236"/>
      <c r="O114" s="236"/>
      <c r="P114" s="236"/>
      <c r="Q114" s="236"/>
      <c r="V114" s="241" t="s">
        <v>41</v>
      </c>
      <c r="W114" s="241"/>
      <c r="X114" s="241"/>
      <c r="Y114" s="241"/>
      <c r="Z114" s="241"/>
      <c r="AA114" s="241"/>
      <c r="AB114" s="241"/>
      <c r="AC114" s="241"/>
    </row>
    <row r="115" spans="1:29" ht="18" x14ac:dyDescent="0.35">
      <c r="F115" s="225" t="s">
        <v>44</v>
      </c>
      <c r="G115" s="225"/>
      <c r="I115" s="20">
        <f>SUBTOTAL(9,I117:I126)</f>
        <v>51.856758661111115</v>
      </c>
      <c r="J115" s="20">
        <f>SUBTOTAL(9,J117:J126)</f>
        <v>46.67108279499999</v>
      </c>
      <c r="K115" s="1">
        <f>+'Finished goods'!$I$3</f>
        <v>2500</v>
      </c>
      <c r="L115" s="1">
        <f>+'Finished goods'!$J$3</f>
        <v>0.9</v>
      </c>
      <c r="M115" s="15">
        <f>+'Finished goods'!$K$3</f>
        <v>0.50772709939119998</v>
      </c>
      <c r="N115" s="15">
        <f>+'Finished goods'!$L$3</f>
        <v>6.7889999999999999E-3</v>
      </c>
      <c r="O115" s="13">
        <f>+'Finished goods'!$M$3</f>
        <v>0.15750000000000003</v>
      </c>
      <c r="P115" s="46">
        <f>+'Finished goods'!$N$3</f>
        <v>5.8880308880308881E-2</v>
      </c>
      <c r="Q115" s="1"/>
      <c r="S115" s="17">
        <f t="shared" ref="S115:AC115" si="62">SUBTOTAL(9,S117:S126)</f>
        <v>3454</v>
      </c>
      <c r="T115" s="17">
        <f t="shared" si="62"/>
        <v>119.7720534861111</v>
      </c>
      <c r="U115" s="17">
        <f t="shared" si="62"/>
        <v>107.7948481375</v>
      </c>
      <c r="V115" s="18">
        <f t="shared" si="62"/>
        <v>29.228156688286745</v>
      </c>
      <c r="W115" s="18">
        <f t="shared" si="62"/>
        <v>0.73181922400548749</v>
      </c>
      <c r="X115" s="18">
        <f t="shared" si="62"/>
        <v>544.00500000000011</v>
      </c>
      <c r="Y115" s="18">
        <f t="shared" si="62"/>
        <v>203.37258687258691</v>
      </c>
      <c r="Z115" s="18">
        <f t="shared" si="62"/>
        <v>9.1726612437952397</v>
      </c>
      <c r="AA115" s="18">
        <f t="shared" si="62"/>
        <v>13.884131275941989</v>
      </c>
      <c r="AB115" s="18">
        <f t="shared" si="62"/>
        <v>468</v>
      </c>
      <c r="AC115" s="19">
        <f t="shared" si="62"/>
        <v>1268.3943553046165</v>
      </c>
    </row>
    <row r="116" spans="1:29" x14ac:dyDescent="0.3">
      <c r="A116" s="1" t="s">
        <v>145</v>
      </c>
      <c r="B116" s="1" t="s">
        <v>30</v>
      </c>
      <c r="C116" s="1" t="s">
        <v>0</v>
      </c>
      <c r="D116" s="1" t="s">
        <v>4</v>
      </c>
      <c r="E116" s="1" t="s">
        <v>5</v>
      </c>
      <c r="F116" s="1" t="s">
        <v>45</v>
      </c>
      <c r="G116" s="1" t="s">
        <v>57</v>
      </c>
      <c r="H116" s="1" t="s">
        <v>6</v>
      </c>
      <c r="I116" s="1" t="s">
        <v>2</v>
      </c>
      <c r="J116" s="1" t="s">
        <v>7</v>
      </c>
      <c r="K116" s="1" t="s">
        <v>31</v>
      </c>
      <c r="L116" s="1" t="s">
        <v>8</v>
      </c>
      <c r="M116" s="1" t="s">
        <v>34</v>
      </c>
      <c r="N116" s="1" t="s">
        <v>35</v>
      </c>
      <c r="O116" s="1" t="s">
        <v>37</v>
      </c>
      <c r="P116" s="1" t="s">
        <v>79</v>
      </c>
      <c r="Q116" s="1" t="s">
        <v>38</v>
      </c>
      <c r="R116" s="1" t="s">
        <v>39</v>
      </c>
      <c r="S116" s="2" t="s">
        <v>43</v>
      </c>
      <c r="T116" s="2" t="s">
        <v>2</v>
      </c>
      <c r="U116" s="2" t="s">
        <v>7</v>
      </c>
      <c r="V116" s="2">
        <f>+'Finished goods'!K116</f>
        <v>0</v>
      </c>
      <c r="W116" s="2">
        <f>+'Finished goods'!L116</f>
        <v>0</v>
      </c>
      <c r="X116" s="2">
        <f>+'Finished goods'!M116</f>
        <v>0</v>
      </c>
      <c r="Y116" s="2">
        <f>+'Finished goods'!N116</f>
        <v>0</v>
      </c>
      <c r="Z116" s="2">
        <f>+'Finished goods'!Q116</f>
        <v>0</v>
      </c>
      <c r="AA116" s="3" t="s">
        <v>111</v>
      </c>
      <c r="AB116" s="3" t="s">
        <v>115</v>
      </c>
      <c r="AC116" s="3" t="s">
        <v>42</v>
      </c>
    </row>
    <row r="117" spans="1:29" ht="14.4" customHeight="1" x14ac:dyDescent="0.3">
      <c r="A117" s="242" t="s">
        <v>418</v>
      </c>
      <c r="B117" s="21" t="s">
        <v>122</v>
      </c>
      <c r="C117" s="4" t="str">
        <f>+C101</f>
        <v>Tavolo twist Logo</v>
      </c>
      <c r="D117" s="5">
        <f>VLOOKUP($C117,'Finished goods'!$A$5:$Q$27,2,FALSE)</f>
        <v>8</v>
      </c>
      <c r="E117" s="5">
        <f>VLOOKUP($C117,'Finished goods'!$A$5:$Q$27,3,FALSE)</f>
        <v>10</v>
      </c>
      <c r="F117" s="5">
        <f>VLOOKUP($C117,'Finished goods'!$A$5:$Q$27,4,FALSE)</f>
        <v>1.22</v>
      </c>
      <c r="G117" s="5">
        <f>VLOOKUP($C117,'Finished goods'!$A$5:$Q$27,5,FALSE)</f>
        <v>82</v>
      </c>
      <c r="H117" s="8">
        <f>VLOOKUP($C117,'Finished goods'!$A$5:$Q$27,6,FALSE)</f>
        <v>7.9769999999999997E-3</v>
      </c>
      <c r="I117" s="9">
        <f>VLOOKUP($C117,'Finished goods'!$A$5:$Q$27,7,FALSE)</f>
        <v>22.158333333333331</v>
      </c>
      <c r="J117" s="9">
        <f>VLOOKUP($C117,'Finished goods'!$A$5:$Q$27,8,FALSE)</f>
        <v>19.942499999999999</v>
      </c>
      <c r="R117" s="23">
        <v>2</v>
      </c>
      <c r="S117" s="6">
        <f t="shared" ref="S117:S126" si="63">+G117*$R117</f>
        <v>164</v>
      </c>
      <c r="T117" s="6">
        <f t="shared" ref="T117:T126" si="64">+I117*$R117</f>
        <v>44.316666666666663</v>
      </c>
      <c r="U117" s="4">
        <f>+J117*$R117</f>
        <v>39.884999999999998</v>
      </c>
      <c r="V117" s="16">
        <f>+S117*$M$3/'COST DATA'!$D$26</f>
        <v>1.3877874050026131</v>
      </c>
      <c r="W117" s="16">
        <f>+U117*$N$3</f>
        <v>0.27077926499999999</v>
      </c>
      <c r="X117" s="27">
        <f>+S117*$O$3</f>
        <v>25.830000000000005</v>
      </c>
      <c r="Y117" s="27">
        <f>+S117*$P$3</f>
        <v>9.6563706563706564</v>
      </c>
      <c r="Z117" s="4">
        <f>+(S117/$S$3)*('Finished goods'!$Q$3*'Project Ostelliere'!$S$1)</f>
        <v>0.43552879096190478</v>
      </c>
      <c r="AA117" s="4">
        <f>+'Finished goods'!$O$3*'Project Ostelliere'!T117</f>
        <v>5.1372452905594805</v>
      </c>
      <c r="AB117" s="4">
        <f>+'Finished goods'!P$5*R117</f>
        <v>300</v>
      </c>
      <c r="AC117" s="7">
        <f>+V117+W117+X117+Y117+Z117+AA117+AB117</f>
        <v>342.71771140789463</v>
      </c>
    </row>
    <row r="118" spans="1:29" x14ac:dyDescent="0.3">
      <c r="A118" s="243"/>
      <c r="B118" s="21" t="s">
        <v>122</v>
      </c>
      <c r="C118" s="4" t="str">
        <f t="shared" ref="C118:C126" si="65">+C102</f>
        <v xml:space="preserve">Vaso bitorzolo curvo </v>
      </c>
      <c r="D118" s="5">
        <f>VLOOKUP($C118,'Finished goods'!$A$5:$Q$27,2,FALSE)</f>
        <v>4</v>
      </c>
      <c r="E118" s="5">
        <f>VLOOKUP($C118,'Finished goods'!$A$5:$Q$27,3,FALSE)</f>
        <v>2</v>
      </c>
      <c r="F118" s="5">
        <f>VLOOKUP($C118,'Finished goods'!$A$5:$Q$27,4,FALSE)</f>
        <v>5.21</v>
      </c>
      <c r="G118" s="5">
        <f>VLOOKUP($C118,'Finished goods'!$A$5:$Q$27,5,FALSE)</f>
        <v>321</v>
      </c>
      <c r="H118" s="8">
        <f>VLOOKUP($C118,'Finished goods'!$A$5:$Q$27,6,FALSE)</f>
        <v>6.0029599999999995E-4</v>
      </c>
      <c r="I118" s="9">
        <f>VLOOKUP($C118,'Finished goods'!$A$5:$Q$27,7,FALSE)</f>
        <v>1.6674888888888888</v>
      </c>
      <c r="J118" s="9">
        <f>VLOOKUP($C118,'Finished goods'!$A$5:$Q$27,8,FALSE)</f>
        <v>1.50074</v>
      </c>
      <c r="R118" s="23">
        <v>2</v>
      </c>
      <c r="S118" s="6">
        <f t="shared" si="63"/>
        <v>642</v>
      </c>
      <c r="T118" s="6">
        <f t="shared" si="64"/>
        <v>3.3349777777777776</v>
      </c>
      <c r="U118" s="4">
        <f t="shared" ref="U118:U126" si="66">+J118*$R118</f>
        <v>3.0014799999999999</v>
      </c>
      <c r="V118" s="16">
        <f>+S118*$M$3/'COST DATA'!$D$26</f>
        <v>5.4326799634858398</v>
      </c>
      <c r="W118" s="16">
        <f t="shared" ref="W118:W126" si="67">+U118*$N$3</f>
        <v>2.0377047719999999E-2</v>
      </c>
      <c r="X118" s="27">
        <f t="shared" ref="X118:X126" si="68">+S118*$O$3</f>
        <v>101.11500000000002</v>
      </c>
      <c r="Y118" s="27">
        <f t="shared" ref="Y118:Y126" si="69">+S118*$P$3</f>
        <v>37.801158301158303</v>
      </c>
      <c r="Z118" s="4">
        <f>+(S118/$S$3)*('Finished goods'!$Q$3*'Project Ostelliere'!$S$1)</f>
        <v>1.7049358768142857</v>
      </c>
      <c r="AA118" s="4">
        <f>+'Finished goods'!$O$3*'Project Ostelliere'!T118</f>
        <v>0.38659493530671857</v>
      </c>
      <c r="AB118" s="4"/>
      <c r="AC118" s="7">
        <f t="shared" ref="AC118:AC126" si="70">+V118+W118+X118+Y118+Z118+AA118+AB118</f>
        <v>146.46074612448518</v>
      </c>
    </row>
    <row r="119" spans="1:29" x14ac:dyDescent="0.3">
      <c r="A119" s="243"/>
      <c r="B119" s="21" t="s">
        <v>122</v>
      </c>
      <c r="C119" s="4" t="str">
        <f t="shared" si="65"/>
        <v>Vaso bitorzolo twist</v>
      </c>
      <c r="D119" s="5">
        <f>VLOOKUP($C119,'Finished goods'!$A$5:$Q$27,2,FALSE)</f>
        <v>4</v>
      </c>
      <c r="E119" s="5">
        <f>VLOOKUP($C119,'Finished goods'!$A$5:$Q$27,3,FALSE)</f>
        <v>2</v>
      </c>
      <c r="F119" s="5">
        <f>VLOOKUP($C119,'Finished goods'!$A$5:$Q$27,4,FALSE)</f>
        <v>5.15</v>
      </c>
      <c r="G119" s="5">
        <f>VLOOKUP($C119,'Finished goods'!$A$5:$Q$27,5,FALSE)</f>
        <v>315</v>
      </c>
      <c r="H119" s="8">
        <f>VLOOKUP($C119,'Finished goods'!$A$5:$Q$27,6,FALSE)</f>
        <v>8.005105E-4</v>
      </c>
      <c r="I119" s="9">
        <f>VLOOKUP($C119,'Finished goods'!$A$5:$Q$27,7,FALSE)</f>
        <v>2.2236402777777777</v>
      </c>
      <c r="J119" s="9">
        <f>VLOOKUP($C119,'Finished goods'!$A$5:$Q$27,8,FALSE)</f>
        <v>2.0012762500000001</v>
      </c>
      <c r="R119" s="23">
        <v>2</v>
      </c>
      <c r="S119" s="6">
        <f t="shared" si="63"/>
        <v>630</v>
      </c>
      <c r="T119" s="6">
        <f t="shared" si="64"/>
        <v>4.4472805555555555</v>
      </c>
      <c r="U119" s="4">
        <f t="shared" si="66"/>
        <v>4.0025525000000002</v>
      </c>
      <c r="V119" s="16">
        <f>+S119*$M$3/'COST DATA'!$D$26</f>
        <v>5.3311345436076003</v>
      </c>
      <c r="W119" s="16">
        <f t="shared" si="67"/>
        <v>2.71733289225E-2</v>
      </c>
      <c r="X119" s="27">
        <f t="shared" si="68"/>
        <v>99.225000000000023</v>
      </c>
      <c r="Y119" s="27">
        <f t="shared" si="69"/>
        <v>37.094594594594597</v>
      </c>
      <c r="Z119" s="4">
        <f>+(S119/$S$3)*('Finished goods'!$Q$3*'Project Ostelliere'!$S$1)</f>
        <v>1.6730679165000002</v>
      </c>
      <c r="AA119" s="4">
        <f>+'Finished goods'!$O$3*'Project Ostelliere'!T119</f>
        <v>0.51553451124086935</v>
      </c>
      <c r="AB119" s="4"/>
      <c r="AC119" s="7">
        <f t="shared" si="70"/>
        <v>143.86650489486561</v>
      </c>
    </row>
    <row r="120" spans="1:29" x14ac:dyDescent="0.3">
      <c r="A120" s="243"/>
      <c r="B120" s="21" t="s">
        <v>122</v>
      </c>
      <c r="C120" s="4" t="str">
        <f t="shared" si="65"/>
        <v>Vaso bitorzolo dritto</v>
      </c>
      <c r="D120" s="5">
        <f>VLOOKUP($C120,'Finished goods'!$A$5:$Q$27,2,FALSE)</f>
        <v>4</v>
      </c>
      <c r="E120" s="5">
        <f>VLOOKUP($C120,'Finished goods'!$A$5:$Q$27,3,FALSE)</f>
        <v>2</v>
      </c>
      <c r="F120" s="5">
        <f>VLOOKUP($C120,'Finished goods'!$A$5:$Q$27,4,FALSE)</f>
        <v>4.4800000000000004</v>
      </c>
      <c r="G120" s="5">
        <f>VLOOKUP($C120,'Finished goods'!$A$5:$Q$27,5,FALSE)</f>
        <v>288</v>
      </c>
      <c r="H120" s="8">
        <f>VLOOKUP($C120,'Finished goods'!$A$5:$Q$27,6,FALSE)</f>
        <v>8.2321687099999998E-4</v>
      </c>
      <c r="I120" s="9">
        <f>VLOOKUP($C120,'Finished goods'!$A$5:$Q$27,7,FALSE)</f>
        <v>2.2867135305555553</v>
      </c>
      <c r="J120" s="9">
        <f>VLOOKUP($C120,'Finished goods'!$A$5:$Q$27,8,FALSE)</f>
        <v>2.0580421775</v>
      </c>
      <c r="R120" s="23">
        <v>2</v>
      </c>
      <c r="S120" s="6">
        <f t="shared" si="63"/>
        <v>576</v>
      </c>
      <c r="T120" s="6">
        <f t="shared" si="64"/>
        <v>4.5734270611111105</v>
      </c>
      <c r="U120" s="4">
        <f t="shared" si="66"/>
        <v>4.1160843549999999</v>
      </c>
      <c r="V120" s="16">
        <f>+S120*$M$3/'COST DATA'!$D$26</f>
        <v>4.8741801541555203</v>
      </c>
      <c r="W120" s="16">
        <f t="shared" si="67"/>
        <v>2.7944096686094998E-2</v>
      </c>
      <c r="X120" s="27">
        <f t="shared" si="68"/>
        <v>90.720000000000013</v>
      </c>
      <c r="Y120" s="27">
        <f t="shared" si="69"/>
        <v>33.915057915057915</v>
      </c>
      <c r="Z120" s="4">
        <f>+(S120/$S$3)*('Finished goods'!$Q$3*'Project Ostelliere'!$S$1)</f>
        <v>1.5296620950857143</v>
      </c>
      <c r="AA120" s="4">
        <f>+'Finished goods'!$O$3*'Project Ostelliere'!T120</f>
        <v>0.53015757724130141</v>
      </c>
      <c r="AB120" s="4"/>
      <c r="AC120" s="7">
        <f t="shared" si="70"/>
        <v>131.59700183822656</v>
      </c>
    </row>
    <row r="121" spans="1:29" x14ac:dyDescent="0.3">
      <c r="A121" s="243"/>
      <c r="B121" s="21" t="s">
        <v>122</v>
      </c>
      <c r="C121" s="4" t="str">
        <f t="shared" si="65"/>
        <v>Porta riviste</v>
      </c>
      <c r="D121" s="5">
        <f>VLOOKUP($C121,'Finished goods'!$A$5:$Q$27,2,FALSE)</f>
        <v>10</v>
      </c>
      <c r="E121" s="5">
        <f>VLOOKUP($C121,'Finished goods'!$A$5:$Q$27,3,FALSE)</f>
        <v>10</v>
      </c>
      <c r="F121" s="5">
        <f>VLOOKUP($C121,'Finished goods'!$A$5:$Q$27,4,FALSE)</f>
        <v>0.42</v>
      </c>
      <c r="G121" s="5">
        <f>VLOOKUP($C121,'Finished goods'!$A$5:$Q$27,5,FALSE)</f>
        <v>42</v>
      </c>
      <c r="H121" s="8">
        <f>VLOOKUP($C121,'Finished goods'!$A$5:$Q$27,6,FALSE)</f>
        <v>3.5606798E-3</v>
      </c>
      <c r="I121" s="9">
        <f>VLOOKUP($C121,'Finished goods'!$A$5:$Q$27,7,FALSE)</f>
        <v>9.890777222222221</v>
      </c>
      <c r="J121" s="9">
        <f>VLOOKUP($C121,'Finished goods'!$A$5:$Q$27,8,FALSE)</f>
        <v>8.9016994999999994</v>
      </c>
      <c r="R121" s="23">
        <v>2</v>
      </c>
      <c r="S121" s="6">
        <f t="shared" si="63"/>
        <v>84</v>
      </c>
      <c r="T121" s="6">
        <f t="shared" si="64"/>
        <v>19.781554444444442</v>
      </c>
      <c r="U121" s="4">
        <f t="shared" si="66"/>
        <v>17.803398999999999</v>
      </c>
      <c r="V121" s="16">
        <f>+S121*$M$3/'COST DATA'!$D$26</f>
        <v>0.71081793914767988</v>
      </c>
      <c r="W121" s="16">
        <f t="shared" si="67"/>
        <v>0.12086727581099999</v>
      </c>
      <c r="X121" s="27">
        <f t="shared" si="68"/>
        <v>13.230000000000002</v>
      </c>
      <c r="Y121" s="27">
        <f t="shared" si="69"/>
        <v>4.9459459459459456</v>
      </c>
      <c r="Z121" s="4">
        <f>+(S121/$S$3)*('Finished goods'!$Q$3*'Project Ostelliere'!$S$1)</f>
        <v>0.22307572219999999</v>
      </c>
      <c r="AA121" s="4">
        <f>+'Finished goods'!$O$3*'Project Ostelliere'!T121</f>
        <v>2.2931033638887142</v>
      </c>
      <c r="AB121" s="4"/>
      <c r="AC121" s="7">
        <f t="shared" si="70"/>
        <v>21.523810246993346</v>
      </c>
    </row>
    <row r="122" spans="1:29" x14ac:dyDescent="0.3">
      <c r="A122" s="243"/>
      <c r="B122" s="21" t="s">
        <v>122</v>
      </c>
      <c r="C122" s="4" t="str">
        <f t="shared" si="65"/>
        <v>Lampada 90 grossa</v>
      </c>
      <c r="D122" s="5">
        <f>VLOOKUP($C122,'Finished goods'!$A$5:$Q$27,2,FALSE)</f>
        <v>8</v>
      </c>
      <c r="E122" s="5">
        <f>VLOOKUP($C122,'Finished goods'!$A$5:$Q$27,3,FALSE)</f>
        <v>10</v>
      </c>
      <c r="F122" s="5">
        <f>VLOOKUP($C122,'Finished goods'!$A$5:$Q$27,4,FALSE)</f>
        <v>1.39</v>
      </c>
      <c r="G122" s="5">
        <f>VLOOKUP($C122,'Finished goods'!$A$5:$Q$27,5,FALSE)</f>
        <v>99</v>
      </c>
      <c r="H122" s="8">
        <f>VLOOKUP($C122,'Finished goods'!$A$5:$Q$27,6,FALSE)</f>
        <v>1.7366300000000001E-3</v>
      </c>
      <c r="I122" s="9">
        <f>VLOOKUP($C122,'Finished goods'!$A$5:$Q$27,7,FALSE)</f>
        <v>4.8239722222222232</v>
      </c>
      <c r="J122" s="9">
        <f>VLOOKUP($C122,'Finished goods'!$A$5:$Q$27,8,FALSE)</f>
        <v>4.3415750000000006</v>
      </c>
      <c r="R122" s="23">
        <v>1</v>
      </c>
      <c r="S122" s="6">
        <f t="shared" si="63"/>
        <v>99</v>
      </c>
      <c r="T122" s="6">
        <f t="shared" si="64"/>
        <v>4.8239722222222232</v>
      </c>
      <c r="U122" s="4">
        <f t="shared" si="66"/>
        <v>4.3415750000000006</v>
      </c>
      <c r="V122" s="16">
        <f>+S122*$M$3/'COST DATA'!$D$26</f>
        <v>0.83774971399547993</v>
      </c>
      <c r="W122" s="16">
        <f t="shared" si="67"/>
        <v>2.9474952675000003E-2</v>
      </c>
      <c r="X122" s="27">
        <f t="shared" si="68"/>
        <v>15.592500000000003</v>
      </c>
      <c r="Y122" s="27">
        <f t="shared" si="69"/>
        <v>5.8291505791505793</v>
      </c>
      <c r="Z122" s="4">
        <f>+(S122/$S$3)*('Finished goods'!$Q$3*'Project Ostelliere'!$S$1)</f>
        <v>0.26291067259285716</v>
      </c>
      <c r="AA122" s="4">
        <f>+'Finished goods'!$O$3*'Project Ostelliere'!T122</f>
        <v>0.55920109621062508</v>
      </c>
      <c r="AB122" s="4">
        <f>+'Finished goods'!P$10*R122</f>
        <v>24</v>
      </c>
      <c r="AC122" s="7">
        <f t="shared" si="70"/>
        <v>47.110987014624541</v>
      </c>
    </row>
    <row r="123" spans="1:29" x14ac:dyDescent="0.3">
      <c r="A123" s="243"/>
      <c r="B123" s="21" t="s">
        <v>122</v>
      </c>
      <c r="C123" s="4" t="str">
        <f t="shared" si="65"/>
        <v>Lampada 90 piccola</v>
      </c>
      <c r="D123" s="5">
        <f>VLOOKUP($C123,'Finished goods'!$A$5:$Q$27,2,FALSE)</f>
        <v>5</v>
      </c>
      <c r="E123" s="5">
        <f>VLOOKUP($C123,'Finished goods'!$A$5:$Q$27,3,FALSE)</f>
        <v>10</v>
      </c>
      <c r="F123" s="5">
        <f>VLOOKUP($C123,'Finished goods'!$A$5:$Q$27,4,FALSE)</f>
        <v>1.1499999999999999</v>
      </c>
      <c r="G123" s="5">
        <f>VLOOKUP($C123,'Finished goods'!$A$5:$Q$27,5,FALSE)</f>
        <v>75</v>
      </c>
      <c r="H123" s="8">
        <f>VLOOKUP($C123,'Finished goods'!$A$5:$Q$27,6,FALSE)</f>
        <v>8.1557296000000004E-4</v>
      </c>
      <c r="I123" s="9">
        <f>VLOOKUP($C123,'Finished goods'!$A$5:$Q$27,7,FALSE)</f>
        <v>2.2654804444444445</v>
      </c>
      <c r="J123" s="9">
        <f>VLOOKUP($C123,'Finished goods'!$A$5:$Q$27,8,FALSE)</f>
        <v>2.0389324000000002</v>
      </c>
      <c r="R123" s="23">
        <v>6</v>
      </c>
      <c r="S123" s="6">
        <f t="shared" si="63"/>
        <v>450</v>
      </c>
      <c r="T123" s="6">
        <f t="shared" si="64"/>
        <v>13.592882666666668</v>
      </c>
      <c r="U123" s="4">
        <f t="shared" si="66"/>
        <v>12.233594400000001</v>
      </c>
      <c r="V123" s="16">
        <f>+S123*$M$3/'COST DATA'!$D$26</f>
        <v>3.8079532454339997</v>
      </c>
      <c r="W123" s="16">
        <f t="shared" si="67"/>
        <v>8.3053872381600002E-2</v>
      </c>
      <c r="X123" s="27">
        <f t="shared" si="68"/>
        <v>70.875000000000014</v>
      </c>
      <c r="Y123" s="27">
        <f t="shared" si="69"/>
        <v>26.496138996138995</v>
      </c>
      <c r="Z123" s="4">
        <f>+(S123/$S$3)*('Finished goods'!$Q$3*'Project Ostelliere'!$S$1)</f>
        <v>1.1950485117857144</v>
      </c>
      <c r="AA123" s="4">
        <f>+'Finished goods'!$O$3*'Project Ostelliere'!T123</f>
        <v>1.5757045309769298</v>
      </c>
      <c r="AB123" s="4">
        <f>+'Finished goods'!P$11*R123</f>
        <v>144</v>
      </c>
      <c r="AC123" s="7">
        <f t="shared" si="70"/>
        <v>248.03289915671726</v>
      </c>
    </row>
    <row r="124" spans="1:29" x14ac:dyDescent="0.3">
      <c r="A124" s="243"/>
      <c r="B124" s="21" t="s">
        <v>122</v>
      </c>
      <c r="C124" s="4" t="str">
        <f t="shared" si="65"/>
        <v>Vaso Logo</v>
      </c>
      <c r="D124" s="5">
        <f>VLOOKUP($C124,'Finished goods'!$A$5:$Q$27,2,FALSE)</f>
        <v>5</v>
      </c>
      <c r="E124" s="5">
        <f>VLOOKUP($C124,'Finished goods'!$A$5:$Q$27,3,FALSE)</f>
        <v>10</v>
      </c>
      <c r="F124" s="5">
        <f>VLOOKUP($C124,'Finished goods'!$A$5:$Q$27,4,FALSE)</f>
        <v>0.39</v>
      </c>
      <c r="G124" s="5">
        <f>VLOOKUP($C124,'Finished goods'!$A$5:$Q$27,5,FALSE)</f>
        <v>39</v>
      </c>
      <c r="H124" s="8">
        <f>VLOOKUP($C124,'Finished goods'!$A$5:$Q$27,6,FALSE)</f>
        <v>1.1639584900000001E-3</v>
      </c>
      <c r="I124" s="9">
        <f>VLOOKUP($C124,'Finished goods'!$A$5:$Q$27,7,FALSE)</f>
        <v>3.2332180277777778</v>
      </c>
      <c r="J124" s="9">
        <f>VLOOKUP($C124,'Finished goods'!$A$5:$Q$27,8,FALSE)</f>
        <v>2.9098962250000002</v>
      </c>
      <c r="R124" s="23">
        <v>3</v>
      </c>
      <c r="S124" s="6">
        <f t="shared" si="63"/>
        <v>117</v>
      </c>
      <c r="T124" s="6">
        <f t="shared" si="64"/>
        <v>9.6996540833333338</v>
      </c>
      <c r="U124" s="4">
        <f t="shared" si="66"/>
        <v>8.7296886750000002</v>
      </c>
      <c r="V124" s="16">
        <f>+S124*$M$3/'COST DATA'!$D$26</f>
        <v>0.99006784381283996</v>
      </c>
      <c r="W124" s="16">
        <f t="shared" si="67"/>
        <v>5.9265856414574998E-2</v>
      </c>
      <c r="X124" s="27">
        <f t="shared" si="68"/>
        <v>18.427500000000002</v>
      </c>
      <c r="Y124" s="27">
        <f t="shared" si="69"/>
        <v>6.8889961389961387</v>
      </c>
      <c r="Z124" s="4">
        <f>+(S124/$S$3)*('Finished goods'!$Q$3*'Project Ostelliere'!$S$1)</f>
        <v>0.31071261306428571</v>
      </c>
      <c r="AA124" s="4">
        <f>+'Finished goods'!$O$3*'Project Ostelliere'!T124</f>
        <v>1.1243964406091058</v>
      </c>
      <c r="AB124" s="4"/>
      <c r="AC124" s="7">
        <f t="shared" si="70"/>
        <v>27.800938892896948</v>
      </c>
    </row>
    <row r="125" spans="1:29" x14ac:dyDescent="0.3">
      <c r="A125" s="243"/>
      <c r="B125" s="21" t="s">
        <v>122</v>
      </c>
      <c r="C125" s="4" t="str">
        <f t="shared" si="65"/>
        <v>Copri candela</v>
      </c>
      <c r="D125" s="5">
        <f>VLOOKUP($C125,'Finished goods'!$A$5:$Q$27,2,FALSE)</f>
        <v>4</v>
      </c>
      <c r="E125" s="5">
        <f>VLOOKUP($C125,'Finished goods'!$A$5:$Q$27,3,FALSE)</f>
        <v>5</v>
      </c>
      <c r="F125" s="5">
        <f>VLOOKUP($C125,'Finished goods'!$A$5:$Q$27,4,FALSE)</f>
        <v>0.34</v>
      </c>
      <c r="G125" s="5">
        <f>VLOOKUP($C125,'Finished goods'!$A$5:$Q$27,5,FALSE)</f>
        <v>34</v>
      </c>
      <c r="H125" s="8">
        <f>VLOOKUP($C125,'Finished goods'!$A$5:$Q$27,6,FALSE)</f>
        <v>2.3780405299999999E-4</v>
      </c>
      <c r="I125" s="9">
        <f>VLOOKUP($C125,'Finished goods'!$A$5:$Q$27,7,FALSE)</f>
        <v>0.66056681388888883</v>
      </c>
      <c r="J125" s="9">
        <f>VLOOKUP($C125,'Finished goods'!$A$5:$Q$27,8,FALSE)</f>
        <v>0.59451013249999995</v>
      </c>
      <c r="R125" s="23">
        <v>15</v>
      </c>
      <c r="S125" s="6">
        <f t="shared" si="63"/>
        <v>510</v>
      </c>
      <c r="T125" s="6">
        <f t="shared" si="64"/>
        <v>9.9085022083333332</v>
      </c>
      <c r="U125" s="4">
        <f t="shared" si="66"/>
        <v>8.9176519874999993</v>
      </c>
      <c r="V125" s="16">
        <f>+S125*$M$3/'COST DATA'!$D$26</f>
        <v>4.3156803448251999</v>
      </c>
      <c r="W125" s="16">
        <f t="shared" si="67"/>
        <v>6.0541939343137494E-2</v>
      </c>
      <c r="X125" s="27">
        <f t="shared" si="68"/>
        <v>80.325000000000017</v>
      </c>
      <c r="Y125" s="27">
        <f t="shared" si="69"/>
        <v>30.02895752895753</v>
      </c>
      <c r="Z125" s="4">
        <f>+(S125/$S$3)*('Finished goods'!$Q$3*'Project Ostelliere'!$S$1)</f>
        <v>1.3543883133571428</v>
      </c>
      <c r="AA125" s="4">
        <f>+'Finished goods'!$O$3*'Project Ostelliere'!T125</f>
        <v>1.1486063852484083</v>
      </c>
      <c r="AB125" s="4"/>
      <c r="AC125" s="7">
        <f t="shared" si="70"/>
        <v>117.23317451173145</v>
      </c>
    </row>
    <row r="126" spans="1:29" x14ac:dyDescent="0.3">
      <c r="A126" s="244"/>
      <c r="B126" s="21" t="s">
        <v>122</v>
      </c>
      <c r="C126" s="4" t="str">
        <f t="shared" si="65"/>
        <v xml:space="preserve">Vaso Grosso </v>
      </c>
      <c r="D126" s="5">
        <f>VLOOKUP($C126,'Finished goods'!$A$5:$Q$27,2,FALSE)</f>
        <v>4</v>
      </c>
      <c r="E126" s="5">
        <f>VLOOKUP($C126,'Finished goods'!$A$5:$Q$27,3,FALSE)</f>
        <v>5</v>
      </c>
      <c r="F126" s="5">
        <f>VLOOKUP($C126,'Finished goods'!$A$5:$Q$27,4,FALSE)</f>
        <v>1.31</v>
      </c>
      <c r="G126" s="5">
        <f>VLOOKUP($C126,'Finished goods'!$A$5:$Q$27,5,FALSE)</f>
        <v>91</v>
      </c>
      <c r="H126" s="8">
        <f>VLOOKUP($C126,'Finished goods'!$A$5:$Q$27,6,FALSE)</f>
        <v>9.52764444E-4</v>
      </c>
      <c r="I126" s="9">
        <f>VLOOKUP($C126,'Finished goods'!$A$5:$Q$27,7,FALSE)</f>
        <v>2.6465679</v>
      </c>
      <c r="J126" s="9">
        <f>VLOOKUP($C126,'Finished goods'!$A$5:$Q$27,8,FALSE)</f>
        <v>2.3819111099999999</v>
      </c>
      <c r="R126" s="23">
        <v>2</v>
      </c>
      <c r="S126" s="6">
        <f t="shared" si="63"/>
        <v>182</v>
      </c>
      <c r="T126" s="6">
        <f t="shared" si="64"/>
        <v>5.2931357999999999</v>
      </c>
      <c r="U126" s="4">
        <f t="shared" si="66"/>
        <v>4.7638222199999998</v>
      </c>
      <c r="V126" s="16">
        <f>+S126*$M$3/'COST DATA'!$D$26</f>
        <v>1.5401055348199733</v>
      </c>
      <c r="W126" s="16">
        <f t="shared" si="67"/>
        <v>3.2341589051580001E-2</v>
      </c>
      <c r="X126" s="27">
        <f t="shared" si="68"/>
        <v>28.665000000000006</v>
      </c>
      <c r="Y126" s="27">
        <f t="shared" si="69"/>
        <v>10.716216216216216</v>
      </c>
      <c r="Z126" s="4">
        <f>+(S126/$S$3)*('Finished goods'!$Q$3*'Project Ostelliere'!$S$1)</f>
        <v>0.48333073143333333</v>
      </c>
      <c r="AA126" s="4">
        <f>+'Finished goods'!$O$3*'Project Ostelliere'!T126</f>
        <v>0.61358714465983732</v>
      </c>
      <c r="AB126" s="4"/>
      <c r="AC126" s="7">
        <f t="shared" si="70"/>
        <v>42.050581216180944</v>
      </c>
    </row>
    <row r="129" spans="1:29" ht="18" x14ac:dyDescent="0.35">
      <c r="D129" s="237" t="s">
        <v>40</v>
      </c>
      <c r="E129" s="237"/>
      <c r="F129" s="237"/>
      <c r="G129" s="237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4" t="s">
        <v>32</v>
      </c>
      <c r="S129" s="47">
        <f>+S131/60/7</f>
        <v>8.2238095238095248</v>
      </c>
      <c r="T129" t="s">
        <v>83</v>
      </c>
    </row>
    <row r="130" spans="1:29" x14ac:dyDescent="0.3">
      <c r="D130" s="236" t="s">
        <v>33</v>
      </c>
      <c r="E130" s="236"/>
      <c r="F130" s="236"/>
      <c r="G130" s="236"/>
      <c r="H130" s="236"/>
      <c r="I130" s="236"/>
      <c r="J130" s="236"/>
      <c r="M130" s="236" t="s">
        <v>36</v>
      </c>
      <c r="N130" s="236"/>
      <c r="O130" s="236"/>
      <c r="P130" s="236"/>
      <c r="Q130" s="236"/>
      <c r="V130" s="241" t="s">
        <v>41</v>
      </c>
      <c r="W130" s="241"/>
      <c r="X130" s="241"/>
      <c r="Y130" s="241"/>
      <c r="Z130" s="241"/>
      <c r="AA130" s="241"/>
      <c r="AB130" s="241"/>
      <c r="AC130" s="241"/>
    </row>
    <row r="131" spans="1:29" ht="18" x14ac:dyDescent="0.35">
      <c r="F131" s="225" t="s">
        <v>44</v>
      </c>
      <c r="G131" s="225"/>
      <c r="I131" s="20">
        <f>SUBTOTAL(9,I133:I142)</f>
        <v>51.856758661111115</v>
      </c>
      <c r="J131" s="20">
        <f>SUBTOTAL(9,J133:J142)</f>
        <v>46.67108279499999</v>
      </c>
      <c r="K131" s="1">
        <f>+'Finished goods'!$I$3</f>
        <v>2500</v>
      </c>
      <c r="L131" s="1">
        <f>+'Finished goods'!$J$3</f>
        <v>0.9</v>
      </c>
      <c r="M131" s="15">
        <f>+'Finished goods'!$K$3</f>
        <v>0.50772709939119998</v>
      </c>
      <c r="N131" s="15">
        <f>+'Finished goods'!$L$3</f>
        <v>6.7889999999999999E-3</v>
      </c>
      <c r="O131" s="13">
        <f>+'Finished goods'!$M$3</f>
        <v>0.15750000000000003</v>
      </c>
      <c r="P131" s="46">
        <f>+'Finished goods'!$N$3</f>
        <v>5.8880308880308881E-2</v>
      </c>
      <c r="Q131" s="1"/>
      <c r="S131" s="17">
        <f t="shared" ref="S131:AC131" si="71">SUBTOTAL(9,S133:S142)</f>
        <v>3454</v>
      </c>
      <c r="T131" s="17">
        <f t="shared" si="71"/>
        <v>119.7720534861111</v>
      </c>
      <c r="U131" s="17">
        <f t="shared" si="71"/>
        <v>107.7948481375</v>
      </c>
      <c r="V131" s="18">
        <f t="shared" si="71"/>
        <v>29.228156688286745</v>
      </c>
      <c r="W131" s="18">
        <f t="shared" si="71"/>
        <v>0.73181922400548749</v>
      </c>
      <c r="X131" s="18">
        <f t="shared" si="71"/>
        <v>544.00500000000011</v>
      </c>
      <c r="Y131" s="18">
        <f t="shared" si="71"/>
        <v>203.37258687258691</v>
      </c>
      <c r="Z131" s="18">
        <f t="shared" si="71"/>
        <v>9.1726612437952397</v>
      </c>
      <c r="AA131" s="18">
        <f t="shared" si="71"/>
        <v>13.884131275941989</v>
      </c>
      <c r="AB131" s="18">
        <f t="shared" si="71"/>
        <v>468</v>
      </c>
      <c r="AC131" s="19">
        <f t="shared" si="71"/>
        <v>1268.3943553046165</v>
      </c>
    </row>
    <row r="132" spans="1:29" x14ac:dyDescent="0.3">
      <c r="A132" s="1" t="s">
        <v>145</v>
      </c>
      <c r="B132" s="1" t="s">
        <v>30</v>
      </c>
      <c r="C132" s="1" t="s">
        <v>0</v>
      </c>
      <c r="D132" s="1" t="s">
        <v>4</v>
      </c>
      <c r="E132" s="1" t="s">
        <v>5</v>
      </c>
      <c r="F132" s="1" t="s">
        <v>45</v>
      </c>
      <c r="G132" s="1" t="s">
        <v>57</v>
      </c>
      <c r="H132" s="1" t="s">
        <v>6</v>
      </c>
      <c r="I132" s="1" t="s">
        <v>2</v>
      </c>
      <c r="J132" s="1" t="s">
        <v>7</v>
      </c>
      <c r="K132" s="1" t="s">
        <v>31</v>
      </c>
      <c r="L132" s="1" t="s">
        <v>8</v>
      </c>
      <c r="M132" s="1" t="s">
        <v>34</v>
      </c>
      <c r="N132" s="1" t="s">
        <v>35</v>
      </c>
      <c r="O132" s="1" t="s">
        <v>37</v>
      </c>
      <c r="P132" s="1" t="s">
        <v>79</v>
      </c>
      <c r="Q132" s="1" t="s">
        <v>38</v>
      </c>
      <c r="R132" s="1" t="s">
        <v>39</v>
      </c>
      <c r="S132" s="2" t="s">
        <v>43</v>
      </c>
      <c r="T132" s="2" t="s">
        <v>2</v>
      </c>
      <c r="U132" s="2" t="s">
        <v>7</v>
      </c>
      <c r="V132" s="2">
        <f>+'Finished goods'!K132</f>
        <v>0</v>
      </c>
      <c r="W132" s="2">
        <f>+'Finished goods'!L132</f>
        <v>0</v>
      </c>
      <c r="X132" s="2">
        <f>+'Finished goods'!M132</f>
        <v>0</v>
      </c>
      <c r="Y132" s="2">
        <f>+'Finished goods'!N132</f>
        <v>0</v>
      </c>
      <c r="Z132" s="2">
        <f>+'Finished goods'!Q132</f>
        <v>0</v>
      </c>
      <c r="AA132" s="3" t="s">
        <v>111</v>
      </c>
      <c r="AB132" s="3" t="s">
        <v>115</v>
      </c>
      <c r="AC132" s="3" t="s">
        <v>42</v>
      </c>
    </row>
    <row r="133" spans="1:29" ht="14.4" customHeight="1" x14ac:dyDescent="0.3">
      <c r="A133" s="242" t="s">
        <v>419</v>
      </c>
      <c r="B133" s="21" t="s">
        <v>122</v>
      </c>
      <c r="C133" s="4" t="str">
        <f>+C117</f>
        <v>Tavolo twist Logo</v>
      </c>
      <c r="D133" s="5">
        <f>VLOOKUP($C133,'Finished goods'!$A$5:$Q$27,2,FALSE)</f>
        <v>8</v>
      </c>
      <c r="E133" s="5">
        <f>VLOOKUP($C133,'Finished goods'!$A$5:$Q$27,3,FALSE)</f>
        <v>10</v>
      </c>
      <c r="F133" s="5">
        <f>VLOOKUP($C133,'Finished goods'!$A$5:$Q$27,4,FALSE)</f>
        <v>1.22</v>
      </c>
      <c r="G133" s="5">
        <f>VLOOKUP($C133,'Finished goods'!$A$5:$Q$27,5,FALSE)</f>
        <v>82</v>
      </c>
      <c r="H133" s="8">
        <f>VLOOKUP($C133,'Finished goods'!$A$5:$Q$27,6,FALSE)</f>
        <v>7.9769999999999997E-3</v>
      </c>
      <c r="I133" s="9">
        <f>VLOOKUP($C133,'Finished goods'!$A$5:$Q$27,7,FALSE)</f>
        <v>22.158333333333331</v>
      </c>
      <c r="J133" s="9">
        <f>VLOOKUP($C133,'Finished goods'!$A$5:$Q$27,8,FALSE)</f>
        <v>19.942499999999999</v>
      </c>
      <c r="R133" s="23">
        <v>2</v>
      </c>
      <c r="S133" s="6">
        <f t="shared" ref="S133:S142" si="72">+G133*$R133</f>
        <v>164</v>
      </c>
      <c r="T133" s="6">
        <f t="shared" ref="T133:T142" si="73">+I133*$R133</f>
        <v>44.316666666666663</v>
      </c>
      <c r="U133" s="4">
        <f>+J133*$R133</f>
        <v>39.884999999999998</v>
      </c>
      <c r="V133" s="16">
        <f>+S133*$M$3/'COST DATA'!$D$26</f>
        <v>1.3877874050026131</v>
      </c>
      <c r="W133" s="16">
        <f>+U133*$N$3</f>
        <v>0.27077926499999999</v>
      </c>
      <c r="X133" s="27">
        <f>+S133*$O$3</f>
        <v>25.830000000000005</v>
      </c>
      <c r="Y133" s="27">
        <f>+S133*$P$3</f>
        <v>9.6563706563706564</v>
      </c>
      <c r="Z133" s="4">
        <f>+(S133/$S$3)*('Finished goods'!$Q$3*'Project Ostelliere'!$S$1)</f>
        <v>0.43552879096190478</v>
      </c>
      <c r="AA133" s="4">
        <f>+'Finished goods'!$O$3*'Project Ostelliere'!T133</f>
        <v>5.1372452905594805</v>
      </c>
      <c r="AB133" s="4">
        <f>+'Finished goods'!P$5*R133</f>
        <v>300</v>
      </c>
      <c r="AC133" s="7">
        <f>+V133+W133+X133+Y133+Z133+AA133+AB133</f>
        <v>342.71771140789463</v>
      </c>
    </row>
    <row r="134" spans="1:29" x14ac:dyDescent="0.3">
      <c r="A134" s="243"/>
      <c r="B134" s="21" t="s">
        <v>122</v>
      </c>
      <c r="C134" s="4" t="str">
        <f t="shared" ref="C134:C142" si="74">+C118</f>
        <v xml:space="preserve">Vaso bitorzolo curvo </v>
      </c>
      <c r="D134" s="5">
        <f>VLOOKUP($C134,'Finished goods'!$A$5:$Q$27,2,FALSE)</f>
        <v>4</v>
      </c>
      <c r="E134" s="5">
        <f>VLOOKUP($C134,'Finished goods'!$A$5:$Q$27,3,FALSE)</f>
        <v>2</v>
      </c>
      <c r="F134" s="5">
        <f>VLOOKUP($C134,'Finished goods'!$A$5:$Q$27,4,FALSE)</f>
        <v>5.21</v>
      </c>
      <c r="G134" s="5">
        <f>VLOOKUP($C134,'Finished goods'!$A$5:$Q$27,5,FALSE)</f>
        <v>321</v>
      </c>
      <c r="H134" s="8">
        <f>VLOOKUP($C134,'Finished goods'!$A$5:$Q$27,6,FALSE)</f>
        <v>6.0029599999999995E-4</v>
      </c>
      <c r="I134" s="9">
        <f>VLOOKUP($C134,'Finished goods'!$A$5:$Q$27,7,FALSE)</f>
        <v>1.6674888888888888</v>
      </c>
      <c r="J134" s="9">
        <f>VLOOKUP($C134,'Finished goods'!$A$5:$Q$27,8,FALSE)</f>
        <v>1.50074</v>
      </c>
      <c r="R134" s="23">
        <v>2</v>
      </c>
      <c r="S134" s="6">
        <f t="shared" si="72"/>
        <v>642</v>
      </c>
      <c r="T134" s="6">
        <f t="shared" si="73"/>
        <v>3.3349777777777776</v>
      </c>
      <c r="U134" s="4">
        <f t="shared" ref="U134:U142" si="75">+J134*$R134</f>
        <v>3.0014799999999999</v>
      </c>
      <c r="V134" s="16">
        <f>+S134*$M$3/'COST DATA'!$D$26</f>
        <v>5.4326799634858398</v>
      </c>
      <c r="W134" s="16">
        <f t="shared" ref="W134:W142" si="76">+U134*$N$3</f>
        <v>2.0377047719999999E-2</v>
      </c>
      <c r="X134" s="27">
        <f t="shared" ref="X134:X142" si="77">+S134*$O$3</f>
        <v>101.11500000000002</v>
      </c>
      <c r="Y134" s="27">
        <f t="shared" ref="Y134:Y142" si="78">+S134*$P$3</f>
        <v>37.801158301158303</v>
      </c>
      <c r="Z134" s="4">
        <f>+(S134/$S$3)*('Finished goods'!$Q$3*'Project Ostelliere'!$S$1)</f>
        <v>1.7049358768142857</v>
      </c>
      <c r="AA134" s="4">
        <f>+'Finished goods'!$O$3*'Project Ostelliere'!T134</f>
        <v>0.38659493530671857</v>
      </c>
      <c r="AB134" s="4"/>
      <c r="AC134" s="7">
        <f t="shared" ref="AC134:AC142" si="79">+V134+W134+X134+Y134+Z134+AA134+AB134</f>
        <v>146.46074612448518</v>
      </c>
    </row>
    <row r="135" spans="1:29" x14ac:dyDescent="0.3">
      <c r="A135" s="243"/>
      <c r="B135" s="21" t="s">
        <v>122</v>
      </c>
      <c r="C135" s="4" t="str">
        <f t="shared" si="74"/>
        <v>Vaso bitorzolo twist</v>
      </c>
      <c r="D135" s="5">
        <f>VLOOKUP($C135,'Finished goods'!$A$5:$Q$27,2,FALSE)</f>
        <v>4</v>
      </c>
      <c r="E135" s="5">
        <f>VLOOKUP($C135,'Finished goods'!$A$5:$Q$27,3,FALSE)</f>
        <v>2</v>
      </c>
      <c r="F135" s="5">
        <f>VLOOKUP($C135,'Finished goods'!$A$5:$Q$27,4,FALSE)</f>
        <v>5.15</v>
      </c>
      <c r="G135" s="5">
        <f>VLOOKUP($C135,'Finished goods'!$A$5:$Q$27,5,FALSE)</f>
        <v>315</v>
      </c>
      <c r="H135" s="8">
        <f>VLOOKUP($C135,'Finished goods'!$A$5:$Q$27,6,FALSE)</f>
        <v>8.005105E-4</v>
      </c>
      <c r="I135" s="9">
        <f>VLOOKUP($C135,'Finished goods'!$A$5:$Q$27,7,FALSE)</f>
        <v>2.2236402777777777</v>
      </c>
      <c r="J135" s="9">
        <f>VLOOKUP($C135,'Finished goods'!$A$5:$Q$27,8,FALSE)</f>
        <v>2.0012762500000001</v>
      </c>
      <c r="R135" s="23">
        <v>2</v>
      </c>
      <c r="S135" s="6">
        <f t="shared" si="72"/>
        <v>630</v>
      </c>
      <c r="T135" s="6">
        <f t="shared" si="73"/>
        <v>4.4472805555555555</v>
      </c>
      <c r="U135" s="4">
        <f t="shared" si="75"/>
        <v>4.0025525000000002</v>
      </c>
      <c r="V135" s="16">
        <f>+S135*$M$3/'COST DATA'!$D$26</f>
        <v>5.3311345436076003</v>
      </c>
      <c r="W135" s="16">
        <f t="shared" si="76"/>
        <v>2.71733289225E-2</v>
      </c>
      <c r="X135" s="27">
        <f t="shared" si="77"/>
        <v>99.225000000000023</v>
      </c>
      <c r="Y135" s="27">
        <f t="shared" si="78"/>
        <v>37.094594594594597</v>
      </c>
      <c r="Z135" s="4">
        <f>+(S135/$S$3)*('Finished goods'!$Q$3*'Project Ostelliere'!$S$1)</f>
        <v>1.6730679165000002</v>
      </c>
      <c r="AA135" s="4">
        <f>+'Finished goods'!$O$3*'Project Ostelliere'!T135</f>
        <v>0.51553451124086935</v>
      </c>
      <c r="AB135" s="4"/>
      <c r="AC135" s="7">
        <f t="shared" si="79"/>
        <v>143.86650489486561</v>
      </c>
    </row>
    <row r="136" spans="1:29" x14ac:dyDescent="0.3">
      <c r="A136" s="243"/>
      <c r="B136" s="21" t="s">
        <v>122</v>
      </c>
      <c r="C136" s="4" t="str">
        <f t="shared" si="74"/>
        <v>Vaso bitorzolo dritto</v>
      </c>
      <c r="D136" s="5">
        <f>VLOOKUP($C136,'Finished goods'!$A$5:$Q$27,2,FALSE)</f>
        <v>4</v>
      </c>
      <c r="E136" s="5">
        <f>VLOOKUP($C136,'Finished goods'!$A$5:$Q$27,3,FALSE)</f>
        <v>2</v>
      </c>
      <c r="F136" s="5">
        <f>VLOOKUP($C136,'Finished goods'!$A$5:$Q$27,4,FALSE)</f>
        <v>4.4800000000000004</v>
      </c>
      <c r="G136" s="5">
        <f>VLOOKUP($C136,'Finished goods'!$A$5:$Q$27,5,FALSE)</f>
        <v>288</v>
      </c>
      <c r="H136" s="8">
        <f>VLOOKUP($C136,'Finished goods'!$A$5:$Q$27,6,FALSE)</f>
        <v>8.2321687099999998E-4</v>
      </c>
      <c r="I136" s="9">
        <f>VLOOKUP($C136,'Finished goods'!$A$5:$Q$27,7,FALSE)</f>
        <v>2.2867135305555553</v>
      </c>
      <c r="J136" s="9">
        <f>VLOOKUP($C136,'Finished goods'!$A$5:$Q$27,8,FALSE)</f>
        <v>2.0580421775</v>
      </c>
      <c r="R136" s="23">
        <v>2</v>
      </c>
      <c r="S136" s="6">
        <f t="shared" si="72"/>
        <v>576</v>
      </c>
      <c r="T136" s="6">
        <f t="shared" si="73"/>
        <v>4.5734270611111105</v>
      </c>
      <c r="U136" s="4">
        <f t="shared" si="75"/>
        <v>4.1160843549999999</v>
      </c>
      <c r="V136" s="16">
        <f>+S136*$M$3/'COST DATA'!$D$26</f>
        <v>4.8741801541555203</v>
      </c>
      <c r="W136" s="16">
        <f t="shared" si="76"/>
        <v>2.7944096686094998E-2</v>
      </c>
      <c r="X136" s="27">
        <f t="shared" si="77"/>
        <v>90.720000000000013</v>
      </c>
      <c r="Y136" s="27">
        <f t="shared" si="78"/>
        <v>33.915057915057915</v>
      </c>
      <c r="Z136" s="4">
        <f>+(S136/$S$3)*('Finished goods'!$Q$3*'Project Ostelliere'!$S$1)</f>
        <v>1.5296620950857143</v>
      </c>
      <c r="AA136" s="4">
        <f>+'Finished goods'!$O$3*'Project Ostelliere'!T136</f>
        <v>0.53015757724130141</v>
      </c>
      <c r="AB136" s="4"/>
      <c r="AC136" s="7">
        <f t="shared" si="79"/>
        <v>131.59700183822656</v>
      </c>
    </row>
    <row r="137" spans="1:29" x14ac:dyDescent="0.3">
      <c r="A137" s="243"/>
      <c r="B137" s="21" t="s">
        <v>122</v>
      </c>
      <c r="C137" s="4" t="str">
        <f t="shared" si="74"/>
        <v>Porta riviste</v>
      </c>
      <c r="D137" s="5">
        <f>VLOOKUP($C137,'Finished goods'!$A$5:$Q$27,2,FALSE)</f>
        <v>10</v>
      </c>
      <c r="E137" s="5">
        <f>VLOOKUP($C137,'Finished goods'!$A$5:$Q$27,3,FALSE)</f>
        <v>10</v>
      </c>
      <c r="F137" s="5">
        <f>VLOOKUP($C137,'Finished goods'!$A$5:$Q$27,4,FALSE)</f>
        <v>0.42</v>
      </c>
      <c r="G137" s="5">
        <f>VLOOKUP($C137,'Finished goods'!$A$5:$Q$27,5,FALSE)</f>
        <v>42</v>
      </c>
      <c r="H137" s="8">
        <f>VLOOKUP($C137,'Finished goods'!$A$5:$Q$27,6,FALSE)</f>
        <v>3.5606798E-3</v>
      </c>
      <c r="I137" s="9">
        <f>VLOOKUP($C137,'Finished goods'!$A$5:$Q$27,7,FALSE)</f>
        <v>9.890777222222221</v>
      </c>
      <c r="J137" s="9">
        <f>VLOOKUP($C137,'Finished goods'!$A$5:$Q$27,8,FALSE)</f>
        <v>8.9016994999999994</v>
      </c>
      <c r="R137" s="23">
        <v>2</v>
      </c>
      <c r="S137" s="6">
        <f t="shared" si="72"/>
        <v>84</v>
      </c>
      <c r="T137" s="6">
        <f t="shared" si="73"/>
        <v>19.781554444444442</v>
      </c>
      <c r="U137" s="4">
        <f t="shared" si="75"/>
        <v>17.803398999999999</v>
      </c>
      <c r="V137" s="16">
        <f>+S137*$M$3/'COST DATA'!$D$26</f>
        <v>0.71081793914767988</v>
      </c>
      <c r="W137" s="16">
        <f t="shared" si="76"/>
        <v>0.12086727581099999</v>
      </c>
      <c r="X137" s="27">
        <f t="shared" si="77"/>
        <v>13.230000000000002</v>
      </c>
      <c r="Y137" s="27">
        <f t="shared" si="78"/>
        <v>4.9459459459459456</v>
      </c>
      <c r="Z137" s="4">
        <f>+(S137/$S$3)*('Finished goods'!$Q$3*'Project Ostelliere'!$S$1)</f>
        <v>0.22307572219999999</v>
      </c>
      <c r="AA137" s="4">
        <f>+'Finished goods'!$O$3*'Project Ostelliere'!T137</f>
        <v>2.2931033638887142</v>
      </c>
      <c r="AB137" s="4"/>
      <c r="AC137" s="7">
        <f t="shared" si="79"/>
        <v>21.523810246993346</v>
      </c>
    </row>
    <row r="138" spans="1:29" x14ac:dyDescent="0.3">
      <c r="A138" s="243"/>
      <c r="B138" s="21" t="s">
        <v>122</v>
      </c>
      <c r="C138" s="4" t="str">
        <f t="shared" si="74"/>
        <v>Lampada 90 grossa</v>
      </c>
      <c r="D138" s="5">
        <f>VLOOKUP($C138,'Finished goods'!$A$5:$Q$27,2,FALSE)</f>
        <v>8</v>
      </c>
      <c r="E138" s="5">
        <f>VLOOKUP($C138,'Finished goods'!$A$5:$Q$27,3,FALSE)</f>
        <v>10</v>
      </c>
      <c r="F138" s="5">
        <f>VLOOKUP($C138,'Finished goods'!$A$5:$Q$27,4,FALSE)</f>
        <v>1.39</v>
      </c>
      <c r="G138" s="5">
        <f>VLOOKUP($C138,'Finished goods'!$A$5:$Q$27,5,FALSE)</f>
        <v>99</v>
      </c>
      <c r="H138" s="8">
        <f>VLOOKUP($C138,'Finished goods'!$A$5:$Q$27,6,FALSE)</f>
        <v>1.7366300000000001E-3</v>
      </c>
      <c r="I138" s="9">
        <f>VLOOKUP($C138,'Finished goods'!$A$5:$Q$27,7,FALSE)</f>
        <v>4.8239722222222232</v>
      </c>
      <c r="J138" s="9">
        <f>VLOOKUP($C138,'Finished goods'!$A$5:$Q$27,8,FALSE)</f>
        <v>4.3415750000000006</v>
      </c>
      <c r="R138" s="23">
        <v>1</v>
      </c>
      <c r="S138" s="6">
        <f t="shared" si="72"/>
        <v>99</v>
      </c>
      <c r="T138" s="6">
        <f t="shared" si="73"/>
        <v>4.8239722222222232</v>
      </c>
      <c r="U138" s="4">
        <f t="shared" si="75"/>
        <v>4.3415750000000006</v>
      </c>
      <c r="V138" s="16">
        <f>+S138*$M$3/'COST DATA'!$D$26</f>
        <v>0.83774971399547993</v>
      </c>
      <c r="W138" s="16">
        <f t="shared" si="76"/>
        <v>2.9474952675000003E-2</v>
      </c>
      <c r="X138" s="27">
        <f t="shared" si="77"/>
        <v>15.592500000000003</v>
      </c>
      <c r="Y138" s="27">
        <f t="shared" si="78"/>
        <v>5.8291505791505793</v>
      </c>
      <c r="Z138" s="4">
        <f>+(S138/$S$3)*('Finished goods'!$Q$3*'Project Ostelliere'!$S$1)</f>
        <v>0.26291067259285716</v>
      </c>
      <c r="AA138" s="4">
        <f>+'Finished goods'!$O$3*'Project Ostelliere'!T138</f>
        <v>0.55920109621062508</v>
      </c>
      <c r="AB138" s="4">
        <f>+'Finished goods'!P$10*R138</f>
        <v>24</v>
      </c>
      <c r="AC138" s="7">
        <f t="shared" si="79"/>
        <v>47.110987014624541</v>
      </c>
    </row>
    <row r="139" spans="1:29" x14ac:dyDescent="0.3">
      <c r="A139" s="243"/>
      <c r="B139" s="21" t="s">
        <v>122</v>
      </c>
      <c r="C139" s="4" t="str">
        <f t="shared" si="74"/>
        <v>Lampada 90 piccola</v>
      </c>
      <c r="D139" s="5">
        <f>VLOOKUP($C139,'Finished goods'!$A$5:$Q$27,2,FALSE)</f>
        <v>5</v>
      </c>
      <c r="E139" s="5">
        <f>VLOOKUP($C139,'Finished goods'!$A$5:$Q$27,3,FALSE)</f>
        <v>10</v>
      </c>
      <c r="F139" s="5">
        <f>VLOOKUP($C139,'Finished goods'!$A$5:$Q$27,4,FALSE)</f>
        <v>1.1499999999999999</v>
      </c>
      <c r="G139" s="5">
        <f>VLOOKUP($C139,'Finished goods'!$A$5:$Q$27,5,FALSE)</f>
        <v>75</v>
      </c>
      <c r="H139" s="8">
        <f>VLOOKUP($C139,'Finished goods'!$A$5:$Q$27,6,FALSE)</f>
        <v>8.1557296000000004E-4</v>
      </c>
      <c r="I139" s="9">
        <f>VLOOKUP($C139,'Finished goods'!$A$5:$Q$27,7,FALSE)</f>
        <v>2.2654804444444445</v>
      </c>
      <c r="J139" s="9">
        <f>VLOOKUP($C139,'Finished goods'!$A$5:$Q$27,8,FALSE)</f>
        <v>2.0389324000000002</v>
      </c>
      <c r="R139" s="23">
        <v>6</v>
      </c>
      <c r="S139" s="6">
        <f t="shared" si="72"/>
        <v>450</v>
      </c>
      <c r="T139" s="6">
        <f t="shared" si="73"/>
        <v>13.592882666666668</v>
      </c>
      <c r="U139" s="4">
        <f t="shared" si="75"/>
        <v>12.233594400000001</v>
      </c>
      <c r="V139" s="16">
        <f>+S139*$M$3/'COST DATA'!$D$26</f>
        <v>3.8079532454339997</v>
      </c>
      <c r="W139" s="16">
        <f t="shared" si="76"/>
        <v>8.3053872381600002E-2</v>
      </c>
      <c r="X139" s="27">
        <f t="shared" si="77"/>
        <v>70.875000000000014</v>
      </c>
      <c r="Y139" s="27">
        <f t="shared" si="78"/>
        <v>26.496138996138995</v>
      </c>
      <c r="Z139" s="4">
        <f>+(S139/$S$3)*('Finished goods'!$Q$3*'Project Ostelliere'!$S$1)</f>
        <v>1.1950485117857144</v>
      </c>
      <c r="AA139" s="4">
        <f>+'Finished goods'!$O$3*'Project Ostelliere'!T139</f>
        <v>1.5757045309769298</v>
      </c>
      <c r="AB139" s="4">
        <f>+'Finished goods'!P$11*R139</f>
        <v>144</v>
      </c>
      <c r="AC139" s="7">
        <f t="shared" si="79"/>
        <v>248.03289915671726</v>
      </c>
    </row>
    <row r="140" spans="1:29" x14ac:dyDescent="0.3">
      <c r="A140" s="243"/>
      <c r="B140" s="21" t="s">
        <v>122</v>
      </c>
      <c r="C140" s="4" t="str">
        <f t="shared" si="74"/>
        <v>Vaso Logo</v>
      </c>
      <c r="D140" s="5">
        <f>VLOOKUP($C140,'Finished goods'!$A$5:$Q$27,2,FALSE)</f>
        <v>5</v>
      </c>
      <c r="E140" s="5">
        <f>VLOOKUP($C140,'Finished goods'!$A$5:$Q$27,3,FALSE)</f>
        <v>10</v>
      </c>
      <c r="F140" s="5">
        <f>VLOOKUP($C140,'Finished goods'!$A$5:$Q$27,4,FALSE)</f>
        <v>0.39</v>
      </c>
      <c r="G140" s="5">
        <f>VLOOKUP($C140,'Finished goods'!$A$5:$Q$27,5,FALSE)</f>
        <v>39</v>
      </c>
      <c r="H140" s="8">
        <f>VLOOKUP($C140,'Finished goods'!$A$5:$Q$27,6,FALSE)</f>
        <v>1.1639584900000001E-3</v>
      </c>
      <c r="I140" s="9">
        <f>VLOOKUP($C140,'Finished goods'!$A$5:$Q$27,7,FALSE)</f>
        <v>3.2332180277777778</v>
      </c>
      <c r="J140" s="9">
        <f>VLOOKUP($C140,'Finished goods'!$A$5:$Q$27,8,FALSE)</f>
        <v>2.9098962250000002</v>
      </c>
      <c r="R140" s="23">
        <v>3</v>
      </c>
      <c r="S140" s="6">
        <f t="shared" si="72"/>
        <v>117</v>
      </c>
      <c r="T140" s="6">
        <f t="shared" si="73"/>
        <v>9.6996540833333338</v>
      </c>
      <c r="U140" s="4">
        <f t="shared" si="75"/>
        <v>8.7296886750000002</v>
      </c>
      <c r="V140" s="16">
        <f>+S140*$M$3/'COST DATA'!$D$26</f>
        <v>0.99006784381283996</v>
      </c>
      <c r="W140" s="16">
        <f t="shared" si="76"/>
        <v>5.9265856414574998E-2</v>
      </c>
      <c r="X140" s="27">
        <f t="shared" si="77"/>
        <v>18.427500000000002</v>
      </c>
      <c r="Y140" s="27">
        <f t="shared" si="78"/>
        <v>6.8889961389961387</v>
      </c>
      <c r="Z140" s="4">
        <f>+(S140/$S$3)*('Finished goods'!$Q$3*'Project Ostelliere'!$S$1)</f>
        <v>0.31071261306428571</v>
      </c>
      <c r="AA140" s="4">
        <f>+'Finished goods'!$O$3*'Project Ostelliere'!T140</f>
        <v>1.1243964406091058</v>
      </c>
      <c r="AB140" s="4"/>
      <c r="AC140" s="7">
        <f t="shared" si="79"/>
        <v>27.800938892896948</v>
      </c>
    </row>
    <row r="141" spans="1:29" x14ac:dyDescent="0.3">
      <c r="A141" s="243"/>
      <c r="B141" s="21" t="s">
        <v>122</v>
      </c>
      <c r="C141" s="4" t="str">
        <f t="shared" si="74"/>
        <v>Copri candela</v>
      </c>
      <c r="D141" s="5">
        <f>VLOOKUP($C141,'Finished goods'!$A$5:$Q$27,2,FALSE)</f>
        <v>4</v>
      </c>
      <c r="E141" s="5">
        <f>VLOOKUP($C141,'Finished goods'!$A$5:$Q$27,3,FALSE)</f>
        <v>5</v>
      </c>
      <c r="F141" s="5">
        <f>VLOOKUP($C141,'Finished goods'!$A$5:$Q$27,4,FALSE)</f>
        <v>0.34</v>
      </c>
      <c r="G141" s="5">
        <f>VLOOKUP($C141,'Finished goods'!$A$5:$Q$27,5,FALSE)</f>
        <v>34</v>
      </c>
      <c r="H141" s="8">
        <f>VLOOKUP($C141,'Finished goods'!$A$5:$Q$27,6,FALSE)</f>
        <v>2.3780405299999999E-4</v>
      </c>
      <c r="I141" s="9">
        <f>VLOOKUP($C141,'Finished goods'!$A$5:$Q$27,7,FALSE)</f>
        <v>0.66056681388888883</v>
      </c>
      <c r="J141" s="9">
        <f>VLOOKUP($C141,'Finished goods'!$A$5:$Q$27,8,FALSE)</f>
        <v>0.59451013249999995</v>
      </c>
      <c r="R141" s="23">
        <v>15</v>
      </c>
      <c r="S141" s="6">
        <f t="shared" si="72"/>
        <v>510</v>
      </c>
      <c r="T141" s="6">
        <f t="shared" si="73"/>
        <v>9.9085022083333332</v>
      </c>
      <c r="U141" s="4">
        <f t="shared" si="75"/>
        <v>8.9176519874999993</v>
      </c>
      <c r="V141" s="16">
        <f>+S141*$M$3/'COST DATA'!$D$26</f>
        <v>4.3156803448251999</v>
      </c>
      <c r="W141" s="16">
        <f t="shared" si="76"/>
        <v>6.0541939343137494E-2</v>
      </c>
      <c r="X141" s="27">
        <f t="shared" si="77"/>
        <v>80.325000000000017</v>
      </c>
      <c r="Y141" s="27">
        <f t="shared" si="78"/>
        <v>30.02895752895753</v>
      </c>
      <c r="Z141" s="4">
        <f>+(S141/$S$3)*('Finished goods'!$Q$3*'Project Ostelliere'!$S$1)</f>
        <v>1.3543883133571428</v>
      </c>
      <c r="AA141" s="4">
        <f>+'Finished goods'!$O$3*'Project Ostelliere'!T141</f>
        <v>1.1486063852484083</v>
      </c>
      <c r="AB141" s="4"/>
      <c r="AC141" s="7">
        <f t="shared" si="79"/>
        <v>117.23317451173145</v>
      </c>
    </row>
    <row r="142" spans="1:29" x14ac:dyDescent="0.3">
      <c r="A142" s="244"/>
      <c r="B142" s="21" t="s">
        <v>122</v>
      </c>
      <c r="C142" s="4" t="str">
        <f t="shared" si="74"/>
        <v xml:space="preserve">Vaso Grosso </v>
      </c>
      <c r="D142" s="5">
        <f>VLOOKUP($C142,'Finished goods'!$A$5:$Q$27,2,FALSE)</f>
        <v>4</v>
      </c>
      <c r="E142" s="5">
        <f>VLOOKUP($C142,'Finished goods'!$A$5:$Q$27,3,FALSE)</f>
        <v>5</v>
      </c>
      <c r="F142" s="5">
        <f>VLOOKUP($C142,'Finished goods'!$A$5:$Q$27,4,FALSE)</f>
        <v>1.31</v>
      </c>
      <c r="G142" s="5">
        <f>VLOOKUP($C142,'Finished goods'!$A$5:$Q$27,5,FALSE)</f>
        <v>91</v>
      </c>
      <c r="H142" s="8">
        <f>VLOOKUP($C142,'Finished goods'!$A$5:$Q$27,6,FALSE)</f>
        <v>9.52764444E-4</v>
      </c>
      <c r="I142" s="9">
        <f>VLOOKUP($C142,'Finished goods'!$A$5:$Q$27,7,FALSE)</f>
        <v>2.6465679</v>
      </c>
      <c r="J142" s="9">
        <f>VLOOKUP($C142,'Finished goods'!$A$5:$Q$27,8,FALSE)</f>
        <v>2.3819111099999999</v>
      </c>
      <c r="R142" s="23">
        <v>2</v>
      </c>
      <c r="S142" s="6">
        <f t="shared" si="72"/>
        <v>182</v>
      </c>
      <c r="T142" s="6">
        <f t="shared" si="73"/>
        <v>5.2931357999999999</v>
      </c>
      <c r="U142" s="4">
        <f t="shared" si="75"/>
        <v>4.7638222199999998</v>
      </c>
      <c r="V142" s="16">
        <f>+S142*$M$3/'COST DATA'!$D$26</f>
        <v>1.5401055348199733</v>
      </c>
      <c r="W142" s="16">
        <f t="shared" si="76"/>
        <v>3.2341589051580001E-2</v>
      </c>
      <c r="X142" s="27">
        <f t="shared" si="77"/>
        <v>28.665000000000006</v>
      </c>
      <c r="Y142" s="27">
        <f t="shared" si="78"/>
        <v>10.716216216216216</v>
      </c>
      <c r="Z142" s="4">
        <f>+(S142/$S$3)*('Finished goods'!$Q$3*'Project Ostelliere'!$S$1)</f>
        <v>0.48333073143333333</v>
      </c>
      <c r="AA142" s="4">
        <f>+'Finished goods'!$O$3*'Project Ostelliere'!T142</f>
        <v>0.61358714465983732</v>
      </c>
      <c r="AB142" s="4"/>
      <c r="AC142" s="7">
        <f t="shared" si="79"/>
        <v>42.050581216180944</v>
      </c>
    </row>
    <row r="145" spans="1:29" ht="18" x14ac:dyDescent="0.35">
      <c r="D145" s="237" t="s">
        <v>40</v>
      </c>
      <c r="E145" s="237"/>
      <c r="F145" s="237"/>
      <c r="G145" s="237"/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4" t="s">
        <v>32</v>
      </c>
      <c r="S145" s="47">
        <f>+S147/60/7</f>
        <v>8.2238095238095248</v>
      </c>
      <c r="T145" t="s">
        <v>83</v>
      </c>
    </row>
    <row r="146" spans="1:29" x14ac:dyDescent="0.3">
      <c r="D146" s="236" t="s">
        <v>33</v>
      </c>
      <c r="E146" s="236"/>
      <c r="F146" s="236"/>
      <c r="G146" s="236"/>
      <c r="H146" s="236"/>
      <c r="I146" s="236"/>
      <c r="J146" s="236"/>
      <c r="M146" s="236" t="s">
        <v>36</v>
      </c>
      <c r="N146" s="236"/>
      <c r="O146" s="236"/>
      <c r="P146" s="236"/>
      <c r="Q146" s="236"/>
      <c r="V146" s="241" t="s">
        <v>41</v>
      </c>
      <c r="W146" s="241"/>
      <c r="X146" s="241"/>
      <c r="Y146" s="241"/>
      <c r="Z146" s="241"/>
      <c r="AA146" s="241"/>
      <c r="AB146" s="241"/>
      <c r="AC146" s="241"/>
    </row>
    <row r="147" spans="1:29" ht="18" x14ac:dyDescent="0.35">
      <c r="F147" s="225" t="s">
        <v>44</v>
      </c>
      <c r="G147" s="225"/>
      <c r="I147" s="20">
        <f>SUBTOTAL(9,I149:I158)</f>
        <v>51.856758661111115</v>
      </c>
      <c r="J147" s="20">
        <f>SUBTOTAL(9,J149:J158)</f>
        <v>46.67108279499999</v>
      </c>
      <c r="K147" s="1">
        <f>+'Finished goods'!$I$3</f>
        <v>2500</v>
      </c>
      <c r="L147" s="1">
        <f>+'Finished goods'!$J$3</f>
        <v>0.9</v>
      </c>
      <c r="M147" s="15">
        <f>+'Finished goods'!$K$3</f>
        <v>0.50772709939119998</v>
      </c>
      <c r="N147" s="15">
        <f>+'Finished goods'!$L$3</f>
        <v>6.7889999999999999E-3</v>
      </c>
      <c r="O147" s="13">
        <f>+'Finished goods'!$M$3</f>
        <v>0.15750000000000003</v>
      </c>
      <c r="P147" s="46">
        <f>+'Finished goods'!$N$3</f>
        <v>5.8880308880308881E-2</v>
      </c>
      <c r="Q147" s="1"/>
      <c r="S147" s="17">
        <f t="shared" ref="S147:AC147" si="80">SUBTOTAL(9,S149:S158)</f>
        <v>3454</v>
      </c>
      <c r="T147" s="17">
        <f t="shared" si="80"/>
        <v>119.7720534861111</v>
      </c>
      <c r="U147" s="17">
        <f t="shared" si="80"/>
        <v>107.7948481375</v>
      </c>
      <c r="V147" s="18">
        <f t="shared" si="80"/>
        <v>29.228156688286745</v>
      </c>
      <c r="W147" s="18">
        <f t="shared" si="80"/>
        <v>0.73181922400548749</v>
      </c>
      <c r="X147" s="18">
        <f t="shared" si="80"/>
        <v>544.00500000000011</v>
      </c>
      <c r="Y147" s="18">
        <f t="shared" si="80"/>
        <v>203.37258687258691</v>
      </c>
      <c r="Z147" s="18">
        <f t="shared" si="80"/>
        <v>9.1726612437952397</v>
      </c>
      <c r="AA147" s="18">
        <f t="shared" si="80"/>
        <v>13.884131275941989</v>
      </c>
      <c r="AB147" s="18">
        <f t="shared" si="80"/>
        <v>468</v>
      </c>
      <c r="AC147" s="19">
        <f t="shared" si="80"/>
        <v>1268.3943553046165</v>
      </c>
    </row>
    <row r="148" spans="1:29" x14ac:dyDescent="0.3">
      <c r="A148" s="1" t="s">
        <v>145</v>
      </c>
      <c r="B148" s="1" t="s">
        <v>30</v>
      </c>
      <c r="C148" s="1" t="s">
        <v>0</v>
      </c>
      <c r="D148" s="1" t="s">
        <v>4</v>
      </c>
      <c r="E148" s="1" t="s">
        <v>5</v>
      </c>
      <c r="F148" s="1" t="s">
        <v>45</v>
      </c>
      <c r="G148" s="1" t="s">
        <v>57</v>
      </c>
      <c r="H148" s="1" t="s">
        <v>6</v>
      </c>
      <c r="I148" s="1" t="s">
        <v>2</v>
      </c>
      <c r="J148" s="1" t="s">
        <v>7</v>
      </c>
      <c r="K148" s="1" t="s">
        <v>31</v>
      </c>
      <c r="L148" s="1" t="s">
        <v>8</v>
      </c>
      <c r="M148" s="1" t="s">
        <v>34</v>
      </c>
      <c r="N148" s="1" t="s">
        <v>35</v>
      </c>
      <c r="O148" s="1" t="s">
        <v>37</v>
      </c>
      <c r="P148" s="1" t="s">
        <v>79</v>
      </c>
      <c r="Q148" s="1" t="s">
        <v>38</v>
      </c>
      <c r="R148" s="1" t="s">
        <v>39</v>
      </c>
      <c r="S148" s="2" t="s">
        <v>43</v>
      </c>
      <c r="T148" s="2" t="s">
        <v>2</v>
      </c>
      <c r="U148" s="2" t="s">
        <v>7</v>
      </c>
      <c r="V148" s="2">
        <f>+'Finished goods'!K148</f>
        <v>0</v>
      </c>
      <c r="W148" s="2">
        <f>+'Finished goods'!L148</f>
        <v>0</v>
      </c>
      <c r="X148" s="2">
        <f>+'Finished goods'!M148</f>
        <v>0</v>
      </c>
      <c r="Y148" s="2">
        <f>+'Finished goods'!N148</f>
        <v>0</v>
      </c>
      <c r="Z148" s="2">
        <f>+'Finished goods'!Q148</f>
        <v>0</v>
      </c>
      <c r="AA148" s="3" t="s">
        <v>111</v>
      </c>
      <c r="AB148" s="3" t="s">
        <v>115</v>
      </c>
      <c r="AC148" s="3" t="s">
        <v>42</v>
      </c>
    </row>
    <row r="149" spans="1:29" ht="14.4" customHeight="1" x14ac:dyDescent="0.3">
      <c r="A149" s="242" t="s">
        <v>420</v>
      </c>
      <c r="B149" s="21" t="s">
        <v>122</v>
      </c>
      <c r="C149" s="4" t="str">
        <f>+C133</f>
        <v>Tavolo twist Logo</v>
      </c>
      <c r="D149" s="5">
        <f>VLOOKUP($C149,'Finished goods'!$A$5:$Q$27,2,FALSE)</f>
        <v>8</v>
      </c>
      <c r="E149" s="5">
        <f>VLOOKUP($C149,'Finished goods'!$A$5:$Q$27,3,FALSE)</f>
        <v>10</v>
      </c>
      <c r="F149" s="5">
        <f>VLOOKUP($C149,'Finished goods'!$A$5:$Q$27,4,FALSE)</f>
        <v>1.22</v>
      </c>
      <c r="G149" s="5">
        <f>VLOOKUP($C149,'Finished goods'!$A$5:$Q$27,5,FALSE)</f>
        <v>82</v>
      </c>
      <c r="H149" s="8">
        <f>VLOOKUP($C149,'Finished goods'!$A$5:$Q$27,6,FALSE)</f>
        <v>7.9769999999999997E-3</v>
      </c>
      <c r="I149" s="9">
        <f>VLOOKUP($C149,'Finished goods'!$A$5:$Q$27,7,FALSE)</f>
        <v>22.158333333333331</v>
      </c>
      <c r="J149" s="9">
        <f>VLOOKUP($C149,'Finished goods'!$A$5:$Q$27,8,FALSE)</f>
        <v>19.942499999999999</v>
      </c>
      <c r="R149" s="23">
        <v>2</v>
      </c>
      <c r="S149" s="6">
        <f t="shared" ref="S149:S158" si="81">+G149*$R149</f>
        <v>164</v>
      </c>
      <c r="T149" s="6">
        <f t="shared" ref="T149:T158" si="82">+I149*$R149</f>
        <v>44.316666666666663</v>
      </c>
      <c r="U149" s="4">
        <f>+J149*$R149</f>
        <v>39.884999999999998</v>
      </c>
      <c r="V149" s="16">
        <f>+S149*$M$3/'COST DATA'!$D$26</f>
        <v>1.3877874050026131</v>
      </c>
      <c r="W149" s="16">
        <f>+U149*$N$3</f>
        <v>0.27077926499999999</v>
      </c>
      <c r="X149" s="27">
        <f>+S149*$O$3</f>
        <v>25.830000000000005</v>
      </c>
      <c r="Y149" s="27">
        <f>+S149*$P$3</f>
        <v>9.6563706563706564</v>
      </c>
      <c r="Z149" s="4">
        <f>+(S149/$S$3)*('Finished goods'!$Q$3*'Project Ostelliere'!$S$1)</f>
        <v>0.43552879096190478</v>
      </c>
      <c r="AA149" s="4">
        <f>+'Finished goods'!$O$3*'Project Ostelliere'!T149</f>
        <v>5.1372452905594805</v>
      </c>
      <c r="AB149" s="4">
        <f>+'Finished goods'!P$5*R149</f>
        <v>300</v>
      </c>
      <c r="AC149" s="7">
        <f>+V149+W149+X149+Y149+Z149+AA149+AB149</f>
        <v>342.71771140789463</v>
      </c>
    </row>
    <row r="150" spans="1:29" x14ac:dyDescent="0.3">
      <c r="A150" s="243"/>
      <c r="B150" s="21" t="s">
        <v>122</v>
      </c>
      <c r="C150" s="4" t="str">
        <f t="shared" ref="C150:C158" si="83">+C134</f>
        <v xml:space="preserve">Vaso bitorzolo curvo </v>
      </c>
      <c r="D150" s="5">
        <f>VLOOKUP($C150,'Finished goods'!$A$5:$Q$27,2,FALSE)</f>
        <v>4</v>
      </c>
      <c r="E150" s="5">
        <f>VLOOKUP($C150,'Finished goods'!$A$5:$Q$27,3,FALSE)</f>
        <v>2</v>
      </c>
      <c r="F150" s="5">
        <f>VLOOKUP($C150,'Finished goods'!$A$5:$Q$27,4,FALSE)</f>
        <v>5.21</v>
      </c>
      <c r="G150" s="5">
        <f>VLOOKUP($C150,'Finished goods'!$A$5:$Q$27,5,FALSE)</f>
        <v>321</v>
      </c>
      <c r="H150" s="8">
        <f>VLOOKUP($C150,'Finished goods'!$A$5:$Q$27,6,FALSE)</f>
        <v>6.0029599999999995E-4</v>
      </c>
      <c r="I150" s="9">
        <f>VLOOKUP($C150,'Finished goods'!$A$5:$Q$27,7,FALSE)</f>
        <v>1.6674888888888888</v>
      </c>
      <c r="J150" s="9">
        <f>VLOOKUP($C150,'Finished goods'!$A$5:$Q$27,8,FALSE)</f>
        <v>1.50074</v>
      </c>
      <c r="R150" s="23">
        <v>2</v>
      </c>
      <c r="S150" s="6">
        <f t="shared" si="81"/>
        <v>642</v>
      </c>
      <c r="T150" s="6">
        <f t="shared" si="82"/>
        <v>3.3349777777777776</v>
      </c>
      <c r="U150" s="4">
        <f t="shared" ref="U150:U158" si="84">+J150*$R150</f>
        <v>3.0014799999999999</v>
      </c>
      <c r="V150" s="16">
        <f>+S150*$M$3/'COST DATA'!$D$26</f>
        <v>5.4326799634858398</v>
      </c>
      <c r="W150" s="16">
        <f t="shared" ref="W150:W158" si="85">+U150*$N$3</f>
        <v>2.0377047719999999E-2</v>
      </c>
      <c r="X150" s="27">
        <f t="shared" ref="X150:X158" si="86">+S150*$O$3</f>
        <v>101.11500000000002</v>
      </c>
      <c r="Y150" s="27">
        <f t="shared" ref="Y150:Y158" si="87">+S150*$P$3</f>
        <v>37.801158301158303</v>
      </c>
      <c r="Z150" s="4">
        <f>+(S150/$S$3)*('Finished goods'!$Q$3*'Project Ostelliere'!$S$1)</f>
        <v>1.7049358768142857</v>
      </c>
      <c r="AA150" s="4">
        <f>+'Finished goods'!$O$3*'Project Ostelliere'!T150</f>
        <v>0.38659493530671857</v>
      </c>
      <c r="AB150" s="4"/>
      <c r="AC150" s="7">
        <f t="shared" ref="AC150:AC158" si="88">+V150+W150+X150+Y150+Z150+AA150+AB150</f>
        <v>146.46074612448518</v>
      </c>
    </row>
    <row r="151" spans="1:29" x14ac:dyDescent="0.3">
      <c r="A151" s="243"/>
      <c r="B151" s="21" t="s">
        <v>122</v>
      </c>
      <c r="C151" s="4" t="str">
        <f t="shared" si="83"/>
        <v>Vaso bitorzolo twist</v>
      </c>
      <c r="D151" s="5">
        <f>VLOOKUP($C151,'Finished goods'!$A$5:$Q$27,2,FALSE)</f>
        <v>4</v>
      </c>
      <c r="E151" s="5">
        <f>VLOOKUP($C151,'Finished goods'!$A$5:$Q$27,3,FALSE)</f>
        <v>2</v>
      </c>
      <c r="F151" s="5">
        <f>VLOOKUP($C151,'Finished goods'!$A$5:$Q$27,4,FALSE)</f>
        <v>5.15</v>
      </c>
      <c r="G151" s="5">
        <f>VLOOKUP($C151,'Finished goods'!$A$5:$Q$27,5,FALSE)</f>
        <v>315</v>
      </c>
      <c r="H151" s="8">
        <f>VLOOKUP($C151,'Finished goods'!$A$5:$Q$27,6,FALSE)</f>
        <v>8.005105E-4</v>
      </c>
      <c r="I151" s="9">
        <f>VLOOKUP($C151,'Finished goods'!$A$5:$Q$27,7,FALSE)</f>
        <v>2.2236402777777777</v>
      </c>
      <c r="J151" s="9">
        <f>VLOOKUP($C151,'Finished goods'!$A$5:$Q$27,8,FALSE)</f>
        <v>2.0012762500000001</v>
      </c>
      <c r="R151" s="23">
        <v>2</v>
      </c>
      <c r="S151" s="6">
        <f t="shared" si="81"/>
        <v>630</v>
      </c>
      <c r="T151" s="6">
        <f t="shared" si="82"/>
        <v>4.4472805555555555</v>
      </c>
      <c r="U151" s="4">
        <f t="shared" si="84"/>
        <v>4.0025525000000002</v>
      </c>
      <c r="V151" s="16">
        <f>+S151*$M$3/'COST DATA'!$D$26</f>
        <v>5.3311345436076003</v>
      </c>
      <c r="W151" s="16">
        <f t="shared" si="85"/>
        <v>2.71733289225E-2</v>
      </c>
      <c r="X151" s="27">
        <f t="shared" si="86"/>
        <v>99.225000000000023</v>
      </c>
      <c r="Y151" s="27">
        <f t="shared" si="87"/>
        <v>37.094594594594597</v>
      </c>
      <c r="Z151" s="4">
        <f>+(S151/$S$3)*('Finished goods'!$Q$3*'Project Ostelliere'!$S$1)</f>
        <v>1.6730679165000002</v>
      </c>
      <c r="AA151" s="4">
        <f>+'Finished goods'!$O$3*'Project Ostelliere'!T151</f>
        <v>0.51553451124086935</v>
      </c>
      <c r="AB151" s="4"/>
      <c r="AC151" s="7">
        <f t="shared" si="88"/>
        <v>143.86650489486561</v>
      </c>
    </row>
    <row r="152" spans="1:29" x14ac:dyDescent="0.3">
      <c r="A152" s="243"/>
      <c r="B152" s="21" t="s">
        <v>122</v>
      </c>
      <c r="C152" s="4" t="str">
        <f t="shared" si="83"/>
        <v>Vaso bitorzolo dritto</v>
      </c>
      <c r="D152" s="5">
        <f>VLOOKUP($C152,'Finished goods'!$A$5:$Q$27,2,FALSE)</f>
        <v>4</v>
      </c>
      <c r="E152" s="5">
        <f>VLOOKUP($C152,'Finished goods'!$A$5:$Q$27,3,FALSE)</f>
        <v>2</v>
      </c>
      <c r="F152" s="5">
        <f>VLOOKUP($C152,'Finished goods'!$A$5:$Q$27,4,FALSE)</f>
        <v>4.4800000000000004</v>
      </c>
      <c r="G152" s="5">
        <f>VLOOKUP($C152,'Finished goods'!$A$5:$Q$27,5,FALSE)</f>
        <v>288</v>
      </c>
      <c r="H152" s="8">
        <f>VLOOKUP($C152,'Finished goods'!$A$5:$Q$27,6,FALSE)</f>
        <v>8.2321687099999998E-4</v>
      </c>
      <c r="I152" s="9">
        <f>VLOOKUP($C152,'Finished goods'!$A$5:$Q$27,7,FALSE)</f>
        <v>2.2867135305555553</v>
      </c>
      <c r="J152" s="9">
        <f>VLOOKUP($C152,'Finished goods'!$A$5:$Q$27,8,FALSE)</f>
        <v>2.0580421775</v>
      </c>
      <c r="R152" s="23">
        <v>2</v>
      </c>
      <c r="S152" s="6">
        <f t="shared" si="81"/>
        <v>576</v>
      </c>
      <c r="T152" s="6">
        <f t="shared" si="82"/>
        <v>4.5734270611111105</v>
      </c>
      <c r="U152" s="4">
        <f t="shared" si="84"/>
        <v>4.1160843549999999</v>
      </c>
      <c r="V152" s="16">
        <f>+S152*$M$3/'COST DATA'!$D$26</f>
        <v>4.8741801541555203</v>
      </c>
      <c r="W152" s="16">
        <f t="shared" si="85"/>
        <v>2.7944096686094998E-2</v>
      </c>
      <c r="X152" s="27">
        <f t="shared" si="86"/>
        <v>90.720000000000013</v>
      </c>
      <c r="Y152" s="27">
        <f t="shared" si="87"/>
        <v>33.915057915057915</v>
      </c>
      <c r="Z152" s="4">
        <f>+(S152/$S$3)*('Finished goods'!$Q$3*'Project Ostelliere'!$S$1)</f>
        <v>1.5296620950857143</v>
      </c>
      <c r="AA152" s="4">
        <f>+'Finished goods'!$O$3*'Project Ostelliere'!T152</f>
        <v>0.53015757724130141</v>
      </c>
      <c r="AB152" s="4"/>
      <c r="AC152" s="7">
        <f t="shared" si="88"/>
        <v>131.59700183822656</v>
      </c>
    </row>
    <row r="153" spans="1:29" x14ac:dyDescent="0.3">
      <c r="A153" s="243"/>
      <c r="B153" s="21" t="s">
        <v>122</v>
      </c>
      <c r="C153" s="4" t="str">
        <f t="shared" si="83"/>
        <v>Porta riviste</v>
      </c>
      <c r="D153" s="5">
        <f>VLOOKUP($C153,'Finished goods'!$A$5:$Q$27,2,FALSE)</f>
        <v>10</v>
      </c>
      <c r="E153" s="5">
        <f>VLOOKUP($C153,'Finished goods'!$A$5:$Q$27,3,FALSE)</f>
        <v>10</v>
      </c>
      <c r="F153" s="5">
        <f>VLOOKUP($C153,'Finished goods'!$A$5:$Q$27,4,FALSE)</f>
        <v>0.42</v>
      </c>
      <c r="G153" s="5">
        <f>VLOOKUP($C153,'Finished goods'!$A$5:$Q$27,5,FALSE)</f>
        <v>42</v>
      </c>
      <c r="H153" s="8">
        <f>VLOOKUP($C153,'Finished goods'!$A$5:$Q$27,6,FALSE)</f>
        <v>3.5606798E-3</v>
      </c>
      <c r="I153" s="9">
        <f>VLOOKUP($C153,'Finished goods'!$A$5:$Q$27,7,FALSE)</f>
        <v>9.890777222222221</v>
      </c>
      <c r="J153" s="9">
        <f>VLOOKUP($C153,'Finished goods'!$A$5:$Q$27,8,FALSE)</f>
        <v>8.9016994999999994</v>
      </c>
      <c r="R153" s="23">
        <v>2</v>
      </c>
      <c r="S153" s="6">
        <f t="shared" si="81"/>
        <v>84</v>
      </c>
      <c r="T153" s="6">
        <f t="shared" si="82"/>
        <v>19.781554444444442</v>
      </c>
      <c r="U153" s="4">
        <f t="shared" si="84"/>
        <v>17.803398999999999</v>
      </c>
      <c r="V153" s="16">
        <f>+S153*$M$3/'COST DATA'!$D$26</f>
        <v>0.71081793914767988</v>
      </c>
      <c r="W153" s="16">
        <f t="shared" si="85"/>
        <v>0.12086727581099999</v>
      </c>
      <c r="X153" s="27">
        <f t="shared" si="86"/>
        <v>13.230000000000002</v>
      </c>
      <c r="Y153" s="27">
        <f t="shared" si="87"/>
        <v>4.9459459459459456</v>
      </c>
      <c r="Z153" s="4">
        <f>+(S153/$S$3)*('Finished goods'!$Q$3*'Project Ostelliere'!$S$1)</f>
        <v>0.22307572219999999</v>
      </c>
      <c r="AA153" s="4">
        <f>+'Finished goods'!$O$3*'Project Ostelliere'!T153</f>
        <v>2.2931033638887142</v>
      </c>
      <c r="AB153" s="4"/>
      <c r="AC153" s="7">
        <f t="shared" si="88"/>
        <v>21.523810246993346</v>
      </c>
    </row>
    <row r="154" spans="1:29" x14ac:dyDescent="0.3">
      <c r="A154" s="243"/>
      <c r="B154" s="21" t="s">
        <v>122</v>
      </c>
      <c r="C154" s="4" t="str">
        <f t="shared" si="83"/>
        <v>Lampada 90 grossa</v>
      </c>
      <c r="D154" s="5">
        <f>VLOOKUP($C154,'Finished goods'!$A$5:$Q$27,2,FALSE)</f>
        <v>8</v>
      </c>
      <c r="E154" s="5">
        <f>VLOOKUP($C154,'Finished goods'!$A$5:$Q$27,3,FALSE)</f>
        <v>10</v>
      </c>
      <c r="F154" s="5">
        <f>VLOOKUP($C154,'Finished goods'!$A$5:$Q$27,4,FALSE)</f>
        <v>1.39</v>
      </c>
      <c r="G154" s="5">
        <f>VLOOKUP($C154,'Finished goods'!$A$5:$Q$27,5,FALSE)</f>
        <v>99</v>
      </c>
      <c r="H154" s="8">
        <f>VLOOKUP($C154,'Finished goods'!$A$5:$Q$27,6,FALSE)</f>
        <v>1.7366300000000001E-3</v>
      </c>
      <c r="I154" s="9">
        <f>VLOOKUP($C154,'Finished goods'!$A$5:$Q$27,7,FALSE)</f>
        <v>4.8239722222222232</v>
      </c>
      <c r="J154" s="9">
        <f>VLOOKUP($C154,'Finished goods'!$A$5:$Q$27,8,FALSE)</f>
        <v>4.3415750000000006</v>
      </c>
      <c r="R154" s="23">
        <v>1</v>
      </c>
      <c r="S154" s="6">
        <f t="shared" si="81"/>
        <v>99</v>
      </c>
      <c r="T154" s="6">
        <f t="shared" si="82"/>
        <v>4.8239722222222232</v>
      </c>
      <c r="U154" s="4">
        <f t="shared" si="84"/>
        <v>4.3415750000000006</v>
      </c>
      <c r="V154" s="16">
        <f>+S154*$M$3/'COST DATA'!$D$26</f>
        <v>0.83774971399547993</v>
      </c>
      <c r="W154" s="16">
        <f t="shared" si="85"/>
        <v>2.9474952675000003E-2</v>
      </c>
      <c r="X154" s="27">
        <f t="shared" si="86"/>
        <v>15.592500000000003</v>
      </c>
      <c r="Y154" s="27">
        <f t="shared" si="87"/>
        <v>5.8291505791505793</v>
      </c>
      <c r="Z154" s="4">
        <f>+(S154/$S$3)*('Finished goods'!$Q$3*'Project Ostelliere'!$S$1)</f>
        <v>0.26291067259285716</v>
      </c>
      <c r="AA154" s="4">
        <f>+'Finished goods'!$O$3*'Project Ostelliere'!T154</f>
        <v>0.55920109621062508</v>
      </c>
      <c r="AB154" s="4">
        <f>+'Finished goods'!P$10*R154</f>
        <v>24</v>
      </c>
      <c r="AC154" s="7">
        <f t="shared" si="88"/>
        <v>47.110987014624541</v>
      </c>
    </row>
    <row r="155" spans="1:29" x14ac:dyDescent="0.3">
      <c r="A155" s="243"/>
      <c r="B155" s="21" t="s">
        <v>122</v>
      </c>
      <c r="C155" s="4" t="str">
        <f t="shared" si="83"/>
        <v>Lampada 90 piccola</v>
      </c>
      <c r="D155" s="5">
        <f>VLOOKUP($C155,'Finished goods'!$A$5:$Q$27,2,FALSE)</f>
        <v>5</v>
      </c>
      <c r="E155" s="5">
        <f>VLOOKUP($C155,'Finished goods'!$A$5:$Q$27,3,FALSE)</f>
        <v>10</v>
      </c>
      <c r="F155" s="5">
        <f>VLOOKUP($C155,'Finished goods'!$A$5:$Q$27,4,FALSE)</f>
        <v>1.1499999999999999</v>
      </c>
      <c r="G155" s="5">
        <f>VLOOKUP($C155,'Finished goods'!$A$5:$Q$27,5,FALSE)</f>
        <v>75</v>
      </c>
      <c r="H155" s="8">
        <f>VLOOKUP($C155,'Finished goods'!$A$5:$Q$27,6,FALSE)</f>
        <v>8.1557296000000004E-4</v>
      </c>
      <c r="I155" s="9">
        <f>VLOOKUP($C155,'Finished goods'!$A$5:$Q$27,7,FALSE)</f>
        <v>2.2654804444444445</v>
      </c>
      <c r="J155" s="9">
        <f>VLOOKUP($C155,'Finished goods'!$A$5:$Q$27,8,FALSE)</f>
        <v>2.0389324000000002</v>
      </c>
      <c r="R155" s="23">
        <v>6</v>
      </c>
      <c r="S155" s="6">
        <f t="shared" si="81"/>
        <v>450</v>
      </c>
      <c r="T155" s="6">
        <f t="shared" si="82"/>
        <v>13.592882666666668</v>
      </c>
      <c r="U155" s="4">
        <f t="shared" si="84"/>
        <v>12.233594400000001</v>
      </c>
      <c r="V155" s="16">
        <f>+S155*$M$3/'COST DATA'!$D$26</f>
        <v>3.8079532454339997</v>
      </c>
      <c r="W155" s="16">
        <f t="shared" si="85"/>
        <v>8.3053872381600002E-2</v>
      </c>
      <c r="X155" s="27">
        <f t="shared" si="86"/>
        <v>70.875000000000014</v>
      </c>
      <c r="Y155" s="27">
        <f t="shared" si="87"/>
        <v>26.496138996138995</v>
      </c>
      <c r="Z155" s="4">
        <f>+(S155/$S$3)*('Finished goods'!$Q$3*'Project Ostelliere'!$S$1)</f>
        <v>1.1950485117857144</v>
      </c>
      <c r="AA155" s="4">
        <f>+'Finished goods'!$O$3*'Project Ostelliere'!T155</f>
        <v>1.5757045309769298</v>
      </c>
      <c r="AB155" s="4">
        <f>+'Finished goods'!P$11*R155</f>
        <v>144</v>
      </c>
      <c r="AC155" s="7">
        <f t="shared" si="88"/>
        <v>248.03289915671726</v>
      </c>
    </row>
    <row r="156" spans="1:29" x14ac:dyDescent="0.3">
      <c r="A156" s="243"/>
      <c r="B156" s="21" t="s">
        <v>122</v>
      </c>
      <c r="C156" s="4" t="str">
        <f t="shared" si="83"/>
        <v>Vaso Logo</v>
      </c>
      <c r="D156" s="5">
        <f>VLOOKUP($C156,'Finished goods'!$A$5:$Q$27,2,FALSE)</f>
        <v>5</v>
      </c>
      <c r="E156" s="5">
        <f>VLOOKUP($C156,'Finished goods'!$A$5:$Q$27,3,FALSE)</f>
        <v>10</v>
      </c>
      <c r="F156" s="5">
        <f>VLOOKUP($C156,'Finished goods'!$A$5:$Q$27,4,FALSE)</f>
        <v>0.39</v>
      </c>
      <c r="G156" s="5">
        <f>VLOOKUP($C156,'Finished goods'!$A$5:$Q$27,5,FALSE)</f>
        <v>39</v>
      </c>
      <c r="H156" s="8">
        <f>VLOOKUP($C156,'Finished goods'!$A$5:$Q$27,6,FALSE)</f>
        <v>1.1639584900000001E-3</v>
      </c>
      <c r="I156" s="9">
        <f>VLOOKUP($C156,'Finished goods'!$A$5:$Q$27,7,FALSE)</f>
        <v>3.2332180277777778</v>
      </c>
      <c r="J156" s="9">
        <f>VLOOKUP($C156,'Finished goods'!$A$5:$Q$27,8,FALSE)</f>
        <v>2.9098962250000002</v>
      </c>
      <c r="R156" s="23">
        <v>3</v>
      </c>
      <c r="S156" s="6">
        <f t="shared" si="81"/>
        <v>117</v>
      </c>
      <c r="T156" s="6">
        <f t="shared" si="82"/>
        <v>9.6996540833333338</v>
      </c>
      <c r="U156" s="4">
        <f t="shared" si="84"/>
        <v>8.7296886750000002</v>
      </c>
      <c r="V156" s="16">
        <f>+S156*$M$3/'COST DATA'!$D$26</f>
        <v>0.99006784381283996</v>
      </c>
      <c r="W156" s="16">
        <f t="shared" si="85"/>
        <v>5.9265856414574998E-2</v>
      </c>
      <c r="X156" s="27">
        <f t="shared" si="86"/>
        <v>18.427500000000002</v>
      </c>
      <c r="Y156" s="27">
        <f t="shared" si="87"/>
        <v>6.8889961389961387</v>
      </c>
      <c r="Z156" s="4">
        <f>+(S156/$S$3)*('Finished goods'!$Q$3*'Project Ostelliere'!$S$1)</f>
        <v>0.31071261306428571</v>
      </c>
      <c r="AA156" s="4">
        <f>+'Finished goods'!$O$3*'Project Ostelliere'!T156</f>
        <v>1.1243964406091058</v>
      </c>
      <c r="AB156" s="4"/>
      <c r="AC156" s="7">
        <f t="shared" si="88"/>
        <v>27.800938892896948</v>
      </c>
    </row>
    <row r="157" spans="1:29" x14ac:dyDescent="0.3">
      <c r="A157" s="243"/>
      <c r="B157" s="21" t="s">
        <v>122</v>
      </c>
      <c r="C157" s="4" t="str">
        <f t="shared" si="83"/>
        <v>Copri candela</v>
      </c>
      <c r="D157" s="5">
        <f>VLOOKUP($C157,'Finished goods'!$A$5:$Q$27,2,FALSE)</f>
        <v>4</v>
      </c>
      <c r="E157" s="5">
        <f>VLOOKUP($C157,'Finished goods'!$A$5:$Q$27,3,FALSE)</f>
        <v>5</v>
      </c>
      <c r="F157" s="5">
        <f>VLOOKUP($C157,'Finished goods'!$A$5:$Q$27,4,FALSE)</f>
        <v>0.34</v>
      </c>
      <c r="G157" s="5">
        <f>VLOOKUP($C157,'Finished goods'!$A$5:$Q$27,5,FALSE)</f>
        <v>34</v>
      </c>
      <c r="H157" s="8">
        <f>VLOOKUP($C157,'Finished goods'!$A$5:$Q$27,6,FALSE)</f>
        <v>2.3780405299999999E-4</v>
      </c>
      <c r="I157" s="9">
        <f>VLOOKUP($C157,'Finished goods'!$A$5:$Q$27,7,FALSE)</f>
        <v>0.66056681388888883</v>
      </c>
      <c r="J157" s="9">
        <f>VLOOKUP($C157,'Finished goods'!$A$5:$Q$27,8,FALSE)</f>
        <v>0.59451013249999995</v>
      </c>
      <c r="R157" s="23">
        <v>15</v>
      </c>
      <c r="S157" s="6">
        <f t="shared" si="81"/>
        <v>510</v>
      </c>
      <c r="T157" s="6">
        <f t="shared" si="82"/>
        <v>9.9085022083333332</v>
      </c>
      <c r="U157" s="4">
        <f t="shared" si="84"/>
        <v>8.9176519874999993</v>
      </c>
      <c r="V157" s="16">
        <f>+S157*$M$3/'COST DATA'!$D$26</f>
        <v>4.3156803448251999</v>
      </c>
      <c r="W157" s="16">
        <f t="shared" si="85"/>
        <v>6.0541939343137494E-2</v>
      </c>
      <c r="X157" s="27">
        <f t="shared" si="86"/>
        <v>80.325000000000017</v>
      </c>
      <c r="Y157" s="27">
        <f t="shared" si="87"/>
        <v>30.02895752895753</v>
      </c>
      <c r="Z157" s="4">
        <f>+(S157/$S$3)*('Finished goods'!$Q$3*'Project Ostelliere'!$S$1)</f>
        <v>1.3543883133571428</v>
      </c>
      <c r="AA157" s="4">
        <f>+'Finished goods'!$O$3*'Project Ostelliere'!T157</f>
        <v>1.1486063852484083</v>
      </c>
      <c r="AB157" s="4"/>
      <c r="AC157" s="7">
        <f t="shared" si="88"/>
        <v>117.23317451173145</v>
      </c>
    </row>
    <row r="158" spans="1:29" x14ac:dyDescent="0.3">
      <c r="A158" s="244"/>
      <c r="B158" s="21" t="s">
        <v>122</v>
      </c>
      <c r="C158" s="4" t="str">
        <f t="shared" si="83"/>
        <v xml:space="preserve">Vaso Grosso </v>
      </c>
      <c r="D158" s="5">
        <f>VLOOKUP($C158,'Finished goods'!$A$5:$Q$27,2,FALSE)</f>
        <v>4</v>
      </c>
      <c r="E158" s="5">
        <f>VLOOKUP($C158,'Finished goods'!$A$5:$Q$27,3,FALSE)</f>
        <v>5</v>
      </c>
      <c r="F158" s="5">
        <f>VLOOKUP($C158,'Finished goods'!$A$5:$Q$27,4,FALSE)</f>
        <v>1.31</v>
      </c>
      <c r="G158" s="5">
        <f>VLOOKUP($C158,'Finished goods'!$A$5:$Q$27,5,FALSE)</f>
        <v>91</v>
      </c>
      <c r="H158" s="8">
        <f>VLOOKUP($C158,'Finished goods'!$A$5:$Q$27,6,FALSE)</f>
        <v>9.52764444E-4</v>
      </c>
      <c r="I158" s="9">
        <f>VLOOKUP($C158,'Finished goods'!$A$5:$Q$27,7,FALSE)</f>
        <v>2.6465679</v>
      </c>
      <c r="J158" s="9">
        <f>VLOOKUP($C158,'Finished goods'!$A$5:$Q$27,8,FALSE)</f>
        <v>2.3819111099999999</v>
      </c>
      <c r="R158" s="23">
        <v>2</v>
      </c>
      <c r="S158" s="6">
        <f t="shared" si="81"/>
        <v>182</v>
      </c>
      <c r="T158" s="6">
        <f t="shared" si="82"/>
        <v>5.2931357999999999</v>
      </c>
      <c r="U158" s="4">
        <f t="shared" si="84"/>
        <v>4.7638222199999998</v>
      </c>
      <c r="V158" s="16">
        <f>+S158*$M$3/'COST DATA'!$D$26</f>
        <v>1.5401055348199733</v>
      </c>
      <c r="W158" s="16">
        <f t="shared" si="85"/>
        <v>3.2341589051580001E-2</v>
      </c>
      <c r="X158" s="27">
        <f t="shared" si="86"/>
        <v>28.665000000000006</v>
      </c>
      <c r="Y158" s="27">
        <f t="shared" si="87"/>
        <v>10.716216216216216</v>
      </c>
      <c r="Z158" s="4">
        <f>+(S158/$S$3)*('Finished goods'!$Q$3*'Project Ostelliere'!$S$1)</f>
        <v>0.48333073143333333</v>
      </c>
      <c r="AA158" s="4">
        <f>+'Finished goods'!$O$3*'Project Ostelliere'!T158</f>
        <v>0.61358714465983732</v>
      </c>
      <c r="AB158" s="4"/>
      <c r="AC158" s="7">
        <f t="shared" si="88"/>
        <v>42.050581216180944</v>
      </c>
    </row>
    <row r="161" spans="1:29" ht="18" x14ac:dyDescent="0.35">
      <c r="D161" s="237" t="s">
        <v>40</v>
      </c>
      <c r="E161" s="237"/>
      <c r="F161" s="237"/>
      <c r="G161" s="23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4" t="s">
        <v>32</v>
      </c>
      <c r="S161" s="47">
        <f>+S163/60/7</f>
        <v>8.2238095238095248</v>
      </c>
      <c r="T161" t="s">
        <v>83</v>
      </c>
    </row>
    <row r="162" spans="1:29" x14ac:dyDescent="0.3">
      <c r="D162" s="236" t="s">
        <v>33</v>
      </c>
      <c r="E162" s="236"/>
      <c r="F162" s="236"/>
      <c r="G162" s="236"/>
      <c r="H162" s="236"/>
      <c r="I162" s="236"/>
      <c r="J162" s="236"/>
      <c r="M162" s="236" t="s">
        <v>36</v>
      </c>
      <c r="N162" s="236"/>
      <c r="O162" s="236"/>
      <c r="P162" s="236"/>
      <c r="Q162" s="236"/>
      <c r="V162" s="241" t="s">
        <v>41</v>
      </c>
      <c r="W162" s="241"/>
      <c r="X162" s="241"/>
      <c r="Y162" s="241"/>
      <c r="Z162" s="241"/>
      <c r="AA162" s="241"/>
      <c r="AB162" s="241"/>
      <c r="AC162" s="241"/>
    </row>
    <row r="163" spans="1:29" ht="18" x14ac:dyDescent="0.35">
      <c r="F163" s="225" t="s">
        <v>44</v>
      </c>
      <c r="G163" s="225"/>
      <c r="I163" s="20">
        <f>SUBTOTAL(9,I165:I174)</f>
        <v>51.856758661111115</v>
      </c>
      <c r="J163" s="20">
        <f>SUBTOTAL(9,J165:J174)</f>
        <v>46.67108279499999</v>
      </c>
      <c r="K163" s="1">
        <f>+'Finished goods'!$I$3</f>
        <v>2500</v>
      </c>
      <c r="L163" s="1">
        <f>+'Finished goods'!$J$3</f>
        <v>0.9</v>
      </c>
      <c r="M163" s="15">
        <f>+'Finished goods'!$K$3</f>
        <v>0.50772709939119998</v>
      </c>
      <c r="N163" s="15">
        <f>+'Finished goods'!$L$3</f>
        <v>6.7889999999999999E-3</v>
      </c>
      <c r="O163" s="13">
        <f>+'Finished goods'!$M$3</f>
        <v>0.15750000000000003</v>
      </c>
      <c r="P163" s="46">
        <f>+'Finished goods'!$N$3</f>
        <v>5.8880308880308881E-2</v>
      </c>
      <c r="Q163" s="1"/>
      <c r="S163" s="17">
        <f t="shared" ref="S163:AC163" si="89">SUBTOTAL(9,S165:S174)</f>
        <v>3454</v>
      </c>
      <c r="T163" s="17">
        <f t="shared" si="89"/>
        <v>119.7720534861111</v>
      </c>
      <c r="U163" s="17">
        <f t="shared" si="89"/>
        <v>107.7948481375</v>
      </c>
      <c r="V163" s="18">
        <f t="shared" si="89"/>
        <v>29.228156688286745</v>
      </c>
      <c r="W163" s="18">
        <f t="shared" si="89"/>
        <v>0.73181922400548749</v>
      </c>
      <c r="X163" s="18">
        <f t="shared" si="89"/>
        <v>544.00500000000011</v>
      </c>
      <c r="Y163" s="18">
        <f t="shared" si="89"/>
        <v>203.37258687258691</v>
      </c>
      <c r="Z163" s="18">
        <f t="shared" si="89"/>
        <v>9.1726612437952397</v>
      </c>
      <c r="AA163" s="18">
        <f t="shared" si="89"/>
        <v>13.884131275941989</v>
      </c>
      <c r="AB163" s="18">
        <f t="shared" si="89"/>
        <v>468</v>
      </c>
      <c r="AC163" s="19">
        <f t="shared" si="89"/>
        <v>1268.3943553046165</v>
      </c>
    </row>
    <row r="164" spans="1:29" x14ac:dyDescent="0.3">
      <c r="A164" s="1" t="s">
        <v>145</v>
      </c>
      <c r="B164" s="1" t="s">
        <v>30</v>
      </c>
      <c r="C164" s="1" t="s">
        <v>0</v>
      </c>
      <c r="D164" s="1" t="s">
        <v>4</v>
      </c>
      <c r="E164" s="1" t="s">
        <v>5</v>
      </c>
      <c r="F164" s="1" t="s">
        <v>45</v>
      </c>
      <c r="G164" s="1" t="s">
        <v>57</v>
      </c>
      <c r="H164" s="1" t="s">
        <v>6</v>
      </c>
      <c r="I164" s="1" t="s">
        <v>2</v>
      </c>
      <c r="J164" s="1" t="s">
        <v>7</v>
      </c>
      <c r="K164" s="1" t="s">
        <v>31</v>
      </c>
      <c r="L164" s="1" t="s">
        <v>8</v>
      </c>
      <c r="M164" s="1" t="s">
        <v>34</v>
      </c>
      <c r="N164" s="1" t="s">
        <v>35</v>
      </c>
      <c r="O164" s="1" t="s">
        <v>37</v>
      </c>
      <c r="P164" s="1" t="s">
        <v>79</v>
      </c>
      <c r="Q164" s="1" t="s">
        <v>38</v>
      </c>
      <c r="R164" s="1" t="s">
        <v>39</v>
      </c>
      <c r="S164" s="2" t="s">
        <v>43</v>
      </c>
      <c r="T164" s="2" t="s">
        <v>2</v>
      </c>
      <c r="U164" s="2" t="s">
        <v>7</v>
      </c>
      <c r="V164" s="2">
        <f>+'Finished goods'!K164</f>
        <v>0</v>
      </c>
      <c r="W164" s="2">
        <f>+'Finished goods'!L164</f>
        <v>0</v>
      </c>
      <c r="X164" s="2">
        <f>+'Finished goods'!M164</f>
        <v>0</v>
      </c>
      <c r="Y164" s="2">
        <f>+'Finished goods'!N164</f>
        <v>0</v>
      </c>
      <c r="Z164" s="2">
        <f>+'Finished goods'!Q164</f>
        <v>0</v>
      </c>
      <c r="AA164" s="3" t="s">
        <v>111</v>
      </c>
      <c r="AB164" s="3" t="s">
        <v>115</v>
      </c>
      <c r="AC164" s="3" t="s">
        <v>42</v>
      </c>
    </row>
    <row r="165" spans="1:29" ht="14.4" customHeight="1" x14ac:dyDescent="0.3">
      <c r="A165" s="242" t="s">
        <v>421</v>
      </c>
      <c r="B165" s="21" t="s">
        <v>122</v>
      </c>
      <c r="C165" s="4" t="str">
        <f>+C149</f>
        <v>Tavolo twist Logo</v>
      </c>
      <c r="D165" s="5">
        <f>VLOOKUP($C165,'Finished goods'!$A$5:$Q$27,2,FALSE)</f>
        <v>8</v>
      </c>
      <c r="E165" s="5">
        <f>VLOOKUP($C165,'Finished goods'!$A$5:$Q$27,3,FALSE)</f>
        <v>10</v>
      </c>
      <c r="F165" s="5">
        <f>VLOOKUP($C165,'Finished goods'!$A$5:$Q$27,4,FALSE)</f>
        <v>1.22</v>
      </c>
      <c r="G165" s="5">
        <f>VLOOKUP($C165,'Finished goods'!$A$5:$Q$27,5,FALSE)</f>
        <v>82</v>
      </c>
      <c r="H165" s="8">
        <f>VLOOKUP($C165,'Finished goods'!$A$5:$Q$27,6,FALSE)</f>
        <v>7.9769999999999997E-3</v>
      </c>
      <c r="I165" s="9">
        <f>VLOOKUP($C165,'Finished goods'!$A$5:$Q$27,7,FALSE)</f>
        <v>22.158333333333331</v>
      </c>
      <c r="J165" s="9">
        <f>VLOOKUP($C165,'Finished goods'!$A$5:$Q$27,8,FALSE)</f>
        <v>19.942499999999999</v>
      </c>
      <c r="R165" s="23">
        <v>2</v>
      </c>
      <c r="S165" s="6">
        <f t="shared" ref="S165:S174" si="90">+G165*$R165</f>
        <v>164</v>
      </c>
      <c r="T165" s="6">
        <f t="shared" ref="T165:T174" si="91">+I165*$R165</f>
        <v>44.316666666666663</v>
      </c>
      <c r="U165" s="4">
        <f>+J165*$R165</f>
        <v>39.884999999999998</v>
      </c>
      <c r="V165" s="16">
        <f>+S165*$M$3/'COST DATA'!$D$26</f>
        <v>1.3877874050026131</v>
      </c>
      <c r="W165" s="16">
        <f>+U165*$N$3</f>
        <v>0.27077926499999999</v>
      </c>
      <c r="X165" s="27">
        <f>+S165*$O$3</f>
        <v>25.830000000000005</v>
      </c>
      <c r="Y165" s="27">
        <f>+S165*$P$3</f>
        <v>9.6563706563706564</v>
      </c>
      <c r="Z165" s="4">
        <f>+(S165/$S$3)*('Finished goods'!$Q$3*'Project Ostelliere'!$S$1)</f>
        <v>0.43552879096190478</v>
      </c>
      <c r="AA165" s="4">
        <f>+'Finished goods'!$O$3*'Project Ostelliere'!T165</f>
        <v>5.1372452905594805</v>
      </c>
      <c r="AB165" s="4">
        <f>+'Finished goods'!P$5*R165</f>
        <v>300</v>
      </c>
      <c r="AC165" s="7">
        <f>+V165+W165+X165+Y165+Z165+AA165+AB165</f>
        <v>342.71771140789463</v>
      </c>
    </row>
    <row r="166" spans="1:29" x14ac:dyDescent="0.3">
      <c r="A166" s="243"/>
      <c r="B166" s="21" t="s">
        <v>122</v>
      </c>
      <c r="C166" s="4" t="str">
        <f t="shared" ref="C166:C174" si="92">+C150</f>
        <v xml:space="preserve">Vaso bitorzolo curvo </v>
      </c>
      <c r="D166" s="5">
        <f>VLOOKUP($C166,'Finished goods'!$A$5:$Q$27,2,FALSE)</f>
        <v>4</v>
      </c>
      <c r="E166" s="5">
        <f>VLOOKUP($C166,'Finished goods'!$A$5:$Q$27,3,FALSE)</f>
        <v>2</v>
      </c>
      <c r="F166" s="5">
        <f>VLOOKUP($C166,'Finished goods'!$A$5:$Q$27,4,FALSE)</f>
        <v>5.21</v>
      </c>
      <c r="G166" s="5">
        <f>VLOOKUP($C166,'Finished goods'!$A$5:$Q$27,5,FALSE)</f>
        <v>321</v>
      </c>
      <c r="H166" s="8">
        <f>VLOOKUP($C166,'Finished goods'!$A$5:$Q$27,6,FALSE)</f>
        <v>6.0029599999999995E-4</v>
      </c>
      <c r="I166" s="9">
        <f>VLOOKUP($C166,'Finished goods'!$A$5:$Q$27,7,FALSE)</f>
        <v>1.6674888888888888</v>
      </c>
      <c r="J166" s="9">
        <f>VLOOKUP($C166,'Finished goods'!$A$5:$Q$27,8,FALSE)</f>
        <v>1.50074</v>
      </c>
      <c r="R166" s="23">
        <v>2</v>
      </c>
      <c r="S166" s="6">
        <f t="shared" si="90"/>
        <v>642</v>
      </c>
      <c r="T166" s="6">
        <f t="shared" si="91"/>
        <v>3.3349777777777776</v>
      </c>
      <c r="U166" s="4">
        <f t="shared" ref="U166:U174" si="93">+J166*$R166</f>
        <v>3.0014799999999999</v>
      </c>
      <c r="V166" s="16">
        <f>+S166*$M$3/'COST DATA'!$D$26</f>
        <v>5.4326799634858398</v>
      </c>
      <c r="W166" s="16">
        <f t="shared" ref="W166:W174" si="94">+U166*$N$3</f>
        <v>2.0377047719999999E-2</v>
      </c>
      <c r="X166" s="27">
        <f t="shared" ref="X166:X174" si="95">+S166*$O$3</f>
        <v>101.11500000000002</v>
      </c>
      <c r="Y166" s="27">
        <f t="shared" ref="Y166:Y174" si="96">+S166*$P$3</f>
        <v>37.801158301158303</v>
      </c>
      <c r="Z166" s="4">
        <f>+(S166/$S$3)*('Finished goods'!$Q$3*'Project Ostelliere'!$S$1)</f>
        <v>1.7049358768142857</v>
      </c>
      <c r="AA166" s="4">
        <f>+'Finished goods'!$O$3*'Project Ostelliere'!T166</f>
        <v>0.38659493530671857</v>
      </c>
      <c r="AB166" s="4"/>
      <c r="AC166" s="7">
        <f t="shared" ref="AC166:AC174" si="97">+V166+W166+X166+Y166+Z166+AA166+AB166</f>
        <v>146.46074612448518</v>
      </c>
    </row>
    <row r="167" spans="1:29" x14ac:dyDescent="0.3">
      <c r="A167" s="243"/>
      <c r="B167" s="21" t="s">
        <v>122</v>
      </c>
      <c r="C167" s="4" t="str">
        <f t="shared" si="92"/>
        <v>Vaso bitorzolo twist</v>
      </c>
      <c r="D167" s="5">
        <f>VLOOKUP($C167,'Finished goods'!$A$5:$Q$27,2,FALSE)</f>
        <v>4</v>
      </c>
      <c r="E167" s="5">
        <f>VLOOKUP($C167,'Finished goods'!$A$5:$Q$27,3,FALSE)</f>
        <v>2</v>
      </c>
      <c r="F167" s="5">
        <f>VLOOKUP($C167,'Finished goods'!$A$5:$Q$27,4,FALSE)</f>
        <v>5.15</v>
      </c>
      <c r="G167" s="5">
        <f>VLOOKUP($C167,'Finished goods'!$A$5:$Q$27,5,FALSE)</f>
        <v>315</v>
      </c>
      <c r="H167" s="8">
        <f>VLOOKUP($C167,'Finished goods'!$A$5:$Q$27,6,FALSE)</f>
        <v>8.005105E-4</v>
      </c>
      <c r="I167" s="9">
        <f>VLOOKUP($C167,'Finished goods'!$A$5:$Q$27,7,FALSE)</f>
        <v>2.2236402777777777</v>
      </c>
      <c r="J167" s="9">
        <f>VLOOKUP($C167,'Finished goods'!$A$5:$Q$27,8,FALSE)</f>
        <v>2.0012762500000001</v>
      </c>
      <c r="R167" s="23">
        <v>2</v>
      </c>
      <c r="S167" s="6">
        <f t="shared" si="90"/>
        <v>630</v>
      </c>
      <c r="T167" s="6">
        <f t="shared" si="91"/>
        <v>4.4472805555555555</v>
      </c>
      <c r="U167" s="4">
        <f t="shared" si="93"/>
        <v>4.0025525000000002</v>
      </c>
      <c r="V167" s="16">
        <f>+S167*$M$3/'COST DATA'!$D$26</f>
        <v>5.3311345436076003</v>
      </c>
      <c r="W167" s="16">
        <f t="shared" si="94"/>
        <v>2.71733289225E-2</v>
      </c>
      <c r="X167" s="27">
        <f t="shared" si="95"/>
        <v>99.225000000000023</v>
      </c>
      <c r="Y167" s="27">
        <f t="shared" si="96"/>
        <v>37.094594594594597</v>
      </c>
      <c r="Z167" s="4">
        <f>+(S167/$S$3)*('Finished goods'!$Q$3*'Project Ostelliere'!$S$1)</f>
        <v>1.6730679165000002</v>
      </c>
      <c r="AA167" s="4">
        <f>+'Finished goods'!$O$3*'Project Ostelliere'!T167</f>
        <v>0.51553451124086935</v>
      </c>
      <c r="AB167" s="4"/>
      <c r="AC167" s="7">
        <f t="shared" si="97"/>
        <v>143.86650489486561</v>
      </c>
    </row>
    <row r="168" spans="1:29" x14ac:dyDescent="0.3">
      <c r="A168" s="243"/>
      <c r="B168" s="21" t="s">
        <v>122</v>
      </c>
      <c r="C168" s="4" t="str">
        <f t="shared" si="92"/>
        <v>Vaso bitorzolo dritto</v>
      </c>
      <c r="D168" s="5">
        <f>VLOOKUP($C168,'Finished goods'!$A$5:$Q$27,2,FALSE)</f>
        <v>4</v>
      </c>
      <c r="E168" s="5">
        <f>VLOOKUP($C168,'Finished goods'!$A$5:$Q$27,3,FALSE)</f>
        <v>2</v>
      </c>
      <c r="F168" s="5">
        <f>VLOOKUP($C168,'Finished goods'!$A$5:$Q$27,4,FALSE)</f>
        <v>4.4800000000000004</v>
      </c>
      <c r="G168" s="5">
        <f>VLOOKUP($C168,'Finished goods'!$A$5:$Q$27,5,FALSE)</f>
        <v>288</v>
      </c>
      <c r="H168" s="8">
        <f>VLOOKUP($C168,'Finished goods'!$A$5:$Q$27,6,FALSE)</f>
        <v>8.2321687099999998E-4</v>
      </c>
      <c r="I168" s="9">
        <f>VLOOKUP($C168,'Finished goods'!$A$5:$Q$27,7,FALSE)</f>
        <v>2.2867135305555553</v>
      </c>
      <c r="J168" s="9">
        <f>VLOOKUP($C168,'Finished goods'!$A$5:$Q$27,8,FALSE)</f>
        <v>2.0580421775</v>
      </c>
      <c r="R168" s="23">
        <v>2</v>
      </c>
      <c r="S168" s="6">
        <f t="shared" si="90"/>
        <v>576</v>
      </c>
      <c r="T168" s="6">
        <f t="shared" si="91"/>
        <v>4.5734270611111105</v>
      </c>
      <c r="U168" s="4">
        <f t="shared" si="93"/>
        <v>4.1160843549999999</v>
      </c>
      <c r="V168" s="16">
        <f>+S168*$M$3/'COST DATA'!$D$26</f>
        <v>4.8741801541555203</v>
      </c>
      <c r="W168" s="16">
        <f t="shared" si="94"/>
        <v>2.7944096686094998E-2</v>
      </c>
      <c r="X168" s="27">
        <f t="shared" si="95"/>
        <v>90.720000000000013</v>
      </c>
      <c r="Y168" s="27">
        <f t="shared" si="96"/>
        <v>33.915057915057915</v>
      </c>
      <c r="Z168" s="4">
        <f>+(S168/$S$3)*('Finished goods'!$Q$3*'Project Ostelliere'!$S$1)</f>
        <v>1.5296620950857143</v>
      </c>
      <c r="AA168" s="4">
        <f>+'Finished goods'!$O$3*'Project Ostelliere'!T168</f>
        <v>0.53015757724130141</v>
      </c>
      <c r="AB168" s="4"/>
      <c r="AC168" s="7">
        <f t="shared" si="97"/>
        <v>131.59700183822656</v>
      </c>
    </row>
    <row r="169" spans="1:29" x14ac:dyDescent="0.3">
      <c r="A169" s="243"/>
      <c r="B169" s="21" t="s">
        <v>122</v>
      </c>
      <c r="C169" s="4" t="str">
        <f t="shared" si="92"/>
        <v>Porta riviste</v>
      </c>
      <c r="D169" s="5">
        <f>VLOOKUP($C169,'Finished goods'!$A$5:$Q$27,2,FALSE)</f>
        <v>10</v>
      </c>
      <c r="E169" s="5">
        <f>VLOOKUP($C169,'Finished goods'!$A$5:$Q$27,3,FALSE)</f>
        <v>10</v>
      </c>
      <c r="F169" s="5">
        <f>VLOOKUP($C169,'Finished goods'!$A$5:$Q$27,4,FALSE)</f>
        <v>0.42</v>
      </c>
      <c r="G169" s="5">
        <f>VLOOKUP($C169,'Finished goods'!$A$5:$Q$27,5,FALSE)</f>
        <v>42</v>
      </c>
      <c r="H169" s="8">
        <f>VLOOKUP($C169,'Finished goods'!$A$5:$Q$27,6,FALSE)</f>
        <v>3.5606798E-3</v>
      </c>
      <c r="I169" s="9">
        <f>VLOOKUP($C169,'Finished goods'!$A$5:$Q$27,7,FALSE)</f>
        <v>9.890777222222221</v>
      </c>
      <c r="J169" s="9">
        <f>VLOOKUP($C169,'Finished goods'!$A$5:$Q$27,8,FALSE)</f>
        <v>8.9016994999999994</v>
      </c>
      <c r="R169" s="23">
        <v>2</v>
      </c>
      <c r="S169" s="6">
        <f t="shared" si="90"/>
        <v>84</v>
      </c>
      <c r="T169" s="6">
        <f t="shared" si="91"/>
        <v>19.781554444444442</v>
      </c>
      <c r="U169" s="4">
        <f t="shared" si="93"/>
        <v>17.803398999999999</v>
      </c>
      <c r="V169" s="16">
        <f>+S169*$M$3/'COST DATA'!$D$26</f>
        <v>0.71081793914767988</v>
      </c>
      <c r="W169" s="16">
        <f t="shared" si="94"/>
        <v>0.12086727581099999</v>
      </c>
      <c r="X169" s="27">
        <f t="shared" si="95"/>
        <v>13.230000000000002</v>
      </c>
      <c r="Y169" s="27">
        <f t="shared" si="96"/>
        <v>4.9459459459459456</v>
      </c>
      <c r="Z169" s="4">
        <f>+(S169/$S$3)*('Finished goods'!$Q$3*'Project Ostelliere'!$S$1)</f>
        <v>0.22307572219999999</v>
      </c>
      <c r="AA169" s="4">
        <f>+'Finished goods'!$O$3*'Project Ostelliere'!T169</f>
        <v>2.2931033638887142</v>
      </c>
      <c r="AB169" s="4"/>
      <c r="AC169" s="7">
        <f t="shared" si="97"/>
        <v>21.523810246993346</v>
      </c>
    </row>
    <row r="170" spans="1:29" x14ac:dyDescent="0.3">
      <c r="A170" s="243"/>
      <c r="B170" s="21" t="s">
        <v>122</v>
      </c>
      <c r="C170" s="4" t="str">
        <f t="shared" si="92"/>
        <v>Lampada 90 grossa</v>
      </c>
      <c r="D170" s="5">
        <f>VLOOKUP($C170,'Finished goods'!$A$5:$Q$27,2,FALSE)</f>
        <v>8</v>
      </c>
      <c r="E170" s="5">
        <f>VLOOKUP($C170,'Finished goods'!$A$5:$Q$27,3,FALSE)</f>
        <v>10</v>
      </c>
      <c r="F170" s="5">
        <f>VLOOKUP($C170,'Finished goods'!$A$5:$Q$27,4,FALSE)</f>
        <v>1.39</v>
      </c>
      <c r="G170" s="5">
        <f>VLOOKUP($C170,'Finished goods'!$A$5:$Q$27,5,FALSE)</f>
        <v>99</v>
      </c>
      <c r="H170" s="8">
        <f>VLOOKUP($C170,'Finished goods'!$A$5:$Q$27,6,FALSE)</f>
        <v>1.7366300000000001E-3</v>
      </c>
      <c r="I170" s="9">
        <f>VLOOKUP($C170,'Finished goods'!$A$5:$Q$27,7,FALSE)</f>
        <v>4.8239722222222232</v>
      </c>
      <c r="J170" s="9">
        <f>VLOOKUP($C170,'Finished goods'!$A$5:$Q$27,8,FALSE)</f>
        <v>4.3415750000000006</v>
      </c>
      <c r="R170" s="23">
        <v>1</v>
      </c>
      <c r="S170" s="6">
        <f t="shared" si="90"/>
        <v>99</v>
      </c>
      <c r="T170" s="6">
        <f t="shared" si="91"/>
        <v>4.8239722222222232</v>
      </c>
      <c r="U170" s="4">
        <f t="shared" si="93"/>
        <v>4.3415750000000006</v>
      </c>
      <c r="V170" s="16">
        <f>+S170*$M$3/'COST DATA'!$D$26</f>
        <v>0.83774971399547993</v>
      </c>
      <c r="W170" s="16">
        <f t="shared" si="94"/>
        <v>2.9474952675000003E-2</v>
      </c>
      <c r="X170" s="27">
        <f t="shared" si="95"/>
        <v>15.592500000000003</v>
      </c>
      <c r="Y170" s="27">
        <f t="shared" si="96"/>
        <v>5.8291505791505793</v>
      </c>
      <c r="Z170" s="4">
        <f>+(S170/$S$3)*('Finished goods'!$Q$3*'Project Ostelliere'!$S$1)</f>
        <v>0.26291067259285716</v>
      </c>
      <c r="AA170" s="4">
        <f>+'Finished goods'!$O$3*'Project Ostelliere'!T170</f>
        <v>0.55920109621062508</v>
      </c>
      <c r="AB170" s="4">
        <f>+'Finished goods'!P$10*R170</f>
        <v>24</v>
      </c>
      <c r="AC170" s="7">
        <f t="shared" si="97"/>
        <v>47.110987014624541</v>
      </c>
    </row>
    <row r="171" spans="1:29" x14ac:dyDescent="0.3">
      <c r="A171" s="243"/>
      <c r="B171" s="21" t="s">
        <v>122</v>
      </c>
      <c r="C171" s="4" t="str">
        <f t="shared" si="92"/>
        <v>Lampada 90 piccola</v>
      </c>
      <c r="D171" s="5">
        <f>VLOOKUP($C171,'Finished goods'!$A$5:$Q$27,2,FALSE)</f>
        <v>5</v>
      </c>
      <c r="E171" s="5">
        <f>VLOOKUP($C171,'Finished goods'!$A$5:$Q$27,3,FALSE)</f>
        <v>10</v>
      </c>
      <c r="F171" s="5">
        <f>VLOOKUP($C171,'Finished goods'!$A$5:$Q$27,4,FALSE)</f>
        <v>1.1499999999999999</v>
      </c>
      <c r="G171" s="5">
        <f>VLOOKUP($C171,'Finished goods'!$A$5:$Q$27,5,FALSE)</f>
        <v>75</v>
      </c>
      <c r="H171" s="8">
        <f>VLOOKUP($C171,'Finished goods'!$A$5:$Q$27,6,FALSE)</f>
        <v>8.1557296000000004E-4</v>
      </c>
      <c r="I171" s="9">
        <f>VLOOKUP($C171,'Finished goods'!$A$5:$Q$27,7,FALSE)</f>
        <v>2.2654804444444445</v>
      </c>
      <c r="J171" s="9">
        <f>VLOOKUP($C171,'Finished goods'!$A$5:$Q$27,8,FALSE)</f>
        <v>2.0389324000000002</v>
      </c>
      <c r="R171" s="23">
        <v>6</v>
      </c>
      <c r="S171" s="6">
        <f t="shared" si="90"/>
        <v>450</v>
      </c>
      <c r="T171" s="6">
        <f t="shared" si="91"/>
        <v>13.592882666666668</v>
      </c>
      <c r="U171" s="4">
        <f t="shared" si="93"/>
        <v>12.233594400000001</v>
      </c>
      <c r="V171" s="16">
        <f>+S171*$M$3/'COST DATA'!$D$26</f>
        <v>3.8079532454339997</v>
      </c>
      <c r="W171" s="16">
        <f t="shared" si="94"/>
        <v>8.3053872381600002E-2</v>
      </c>
      <c r="X171" s="27">
        <f t="shared" si="95"/>
        <v>70.875000000000014</v>
      </c>
      <c r="Y171" s="27">
        <f t="shared" si="96"/>
        <v>26.496138996138995</v>
      </c>
      <c r="Z171" s="4">
        <f>+(S171/$S$3)*('Finished goods'!$Q$3*'Project Ostelliere'!$S$1)</f>
        <v>1.1950485117857144</v>
      </c>
      <c r="AA171" s="4">
        <f>+'Finished goods'!$O$3*'Project Ostelliere'!T171</f>
        <v>1.5757045309769298</v>
      </c>
      <c r="AB171" s="4">
        <f>+'Finished goods'!P$11*R171</f>
        <v>144</v>
      </c>
      <c r="AC171" s="7">
        <f t="shared" si="97"/>
        <v>248.03289915671726</v>
      </c>
    </row>
    <row r="172" spans="1:29" x14ac:dyDescent="0.3">
      <c r="A172" s="243"/>
      <c r="B172" s="21" t="s">
        <v>122</v>
      </c>
      <c r="C172" s="4" t="str">
        <f t="shared" si="92"/>
        <v>Vaso Logo</v>
      </c>
      <c r="D172" s="5">
        <f>VLOOKUP($C172,'Finished goods'!$A$5:$Q$27,2,FALSE)</f>
        <v>5</v>
      </c>
      <c r="E172" s="5">
        <f>VLOOKUP($C172,'Finished goods'!$A$5:$Q$27,3,FALSE)</f>
        <v>10</v>
      </c>
      <c r="F172" s="5">
        <f>VLOOKUP($C172,'Finished goods'!$A$5:$Q$27,4,FALSE)</f>
        <v>0.39</v>
      </c>
      <c r="G172" s="5">
        <f>VLOOKUP($C172,'Finished goods'!$A$5:$Q$27,5,FALSE)</f>
        <v>39</v>
      </c>
      <c r="H172" s="8">
        <f>VLOOKUP($C172,'Finished goods'!$A$5:$Q$27,6,FALSE)</f>
        <v>1.1639584900000001E-3</v>
      </c>
      <c r="I172" s="9">
        <f>VLOOKUP($C172,'Finished goods'!$A$5:$Q$27,7,FALSE)</f>
        <v>3.2332180277777778</v>
      </c>
      <c r="J172" s="9">
        <f>VLOOKUP($C172,'Finished goods'!$A$5:$Q$27,8,FALSE)</f>
        <v>2.9098962250000002</v>
      </c>
      <c r="R172" s="23">
        <v>3</v>
      </c>
      <c r="S172" s="6">
        <f t="shared" si="90"/>
        <v>117</v>
      </c>
      <c r="T172" s="6">
        <f t="shared" si="91"/>
        <v>9.6996540833333338</v>
      </c>
      <c r="U172" s="4">
        <f t="shared" si="93"/>
        <v>8.7296886750000002</v>
      </c>
      <c r="V172" s="16">
        <f>+S172*$M$3/'COST DATA'!$D$26</f>
        <v>0.99006784381283996</v>
      </c>
      <c r="W172" s="16">
        <f t="shared" si="94"/>
        <v>5.9265856414574998E-2</v>
      </c>
      <c r="X172" s="27">
        <f t="shared" si="95"/>
        <v>18.427500000000002</v>
      </c>
      <c r="Y172" s="27">
        <f t="shared" si="96"/>
        <v>6.8889961389961387</v>
      </c>
      <c r="Z172" s="4">
        <f>+(S172/$S$3)*('Finished goods'!$Q$3*'Project Ostelliere'!$S$1)</f>
        <v>0.31071261306428571</v>
      </c>
      <c r="AA172" s="4">
        <f>+'Finished goods'!$O$3*'Project Ostelliere'!T172</f>
        <v>1.1243964406091058</v>
      </c>
      <c r="AB172" s="4"/>
      <c r="AC172" s="7">
        <f t="shared" si="97"/>
        <v>27.800938892896948</v>
      </c>
    </row>
    <row r="173" spans="1:29" x14ac:dyDescent="0.3">
      <c r="A173" s="243"/>
      <c r="B173" s="21" t="s">
        <v>122</v>
      </c>
      <c r="C173" s="4" t="str">
        <f t="shared" si="92"/>
        <v>Copri candela</v>
      </c>
      <c r="D173" s="5">
        <f>VLOOKUP($C173,'Finished goods'!$A$5:$Q$27,2,FALSE)</f>
        <v>4</v>
      </c>
      <c r="E173" s="5">
        <f>VLOOKUP($C173,'Finished goods'!$A$5:$Q$27,3,FALSE)</f>
        <v>5</v>
      </c>
      <c r="F173" s="5">
        <f>VLOOKUP($C173,'Finished goods'!$A$5:$Q$27,4,FALSE)</f>
        <v>0.34</v>
      </c>
      <c r="G173" s="5">
        <f>VLOOKUP($C173,'Finished goods'!$A$5:$Q$27,5,FALSE)</f>
        <v>34</v>
      </c>
      <c r="H173" s="8">
        <f>VLOOKUP($C173,'Finished goods'!$A$5:$Q$27,6,FALSE)</f>
        <v>2.3780405299999999E-4</v>
      </c>
      <c r="I173" s="9">
        <f>VLOOKUP($C173,'Finished goods'!$A$5:$Q$27,7,FALSE)</f>
        <v>0.66056681388888883</v>
      </c>
      <c r="J173" s="9">
        <f>VLOOKUP($C173,'Finished goods'!$A$5:$Q$27,8,FALSE)</f>
        <v>0.59451013249999995</v>
      </c>
      <c r="R173" s="23">
        <v>15</v>
      </c>
      <c r="S173" s="6">
        <f t="shared" si="90"/>
        <v>510</v>
      </c>
      <c r="T173" s="6">
        <f t="shared" si="91"/>
        <v>9.9085022083333332</v>
      </c>
      <c r="U173" s="4">
        <f t="shared" si="93"/>
        <v>8.9176519874999993</v>
      </c>
      <c r="V173" s="16">
        <f>+S173*$M$3/'COST DATA'!$D$26</f>
        <v>4.3156803448251999</v>
      </c>
      <c r="W173" s="16">
        <f t="shared" si="94"/>
        <v>6.0541939343137494E-2</v>
      </c>
      <c r="X173" s="27">
        <f t="shared" si="95"/>
        <v>80.325000000000017</v>
      </c>
      <c r="Y173" s="27">
        <f t="shared" si="96"/>
        <v>30.02895752895753</v>
      </c>
      <c r="Z173" s="4">
        <f>+(S173/$S$3)*('Finished goods'!$Q$3*'Project Ostelliere'!$S$1)</f>
        <v>1.3543883133571428</v>
      </c>
      <c r="AA173" s="4">
        <f>+'Finished goods'!$O$3*'Project Ostelliere'!T173</f>
        <v>1.1486063852484083</v>
      </c>
      <c r="AB173" s="4"/>
      <c r="AC173" s="7">
        <f t="shared" si="97"/>
        <v>117.23317451173145</v>
      </c>
    </row>
    <row r="174" spans="1:29" x14ac:dyDescent="0.3">
      <c r="A174" s="244"/>
      <c r="B174" s="21" t="s">
        <v>122</v>
      </c>
      <c r="C174" s="4" t="str">
        <f t="shared" si="92"/>
        <v xml:space="preserve">Vaso Grosso </v>
      </c>
      <c r="D174" s="5">
        <f>VLOOKUP($C174,'Finished goods'!$A$5:$Q$27,2,FALSE)</f>
        <v>4</v>
      </c>
      <c r="E174" s="5">
        <f>VLOOKUP($C174,'Finished goods'!$A$5:$Q$27,3,FALSE)</f>
        <v>5</v>
      </c>
      <c r="F174" s="5">
        <f>VLOOKUP($C174,'Finished goods'!$A$5:$Q$27,4,FALSE)</f>
        <v>1.31</v>
      </c>
      <c r="G174" s="5">
        <f>VLOOKUP($C174,'Finished goods'!$A$5:$Q$27,5,FALSE)</f>
        <v>91</v>
      </c>
      <c r="H174" s="8">
        <f>VLOOKUP($C174,'Finished goods'!$A$5:$Q$27,6,FALSE)</f>
        <v>9.52764444E-4</v>
      </c>
      <c r="I174" s="9">
        <f>VLOOKUP($C174,'Finished goods'!$A$5:$Q$27,7,FALSE)</f>
        <v>2.6465679</v>
      </c>
      <c r="J174" s="9">
        <f>VLOOKUP($C174,'Finished goods'!$A$5:$Q$27,8,FALSE)</f>
        <v>2.3819111099999999</v>
      </c>
      <c r="R174" s="23">
        <v>2</v>
      </c>
      <c r="S174" s="6">
        <f t="shared" si="90"/>
        <v>182</v>
      </c>
      <c r="T174" s="6">
        <f t="shared" si="91"/>
        <v>5.2931357999999999</v>
      </c>
      <c r="U174" s="4">
        <f t="shared" si="93"/>
        <v>4.7638222199999998</v>
      </c>
      <c r="V174" s="16">
        <f>+S174*$M$3/'COST DATA'!$D$26</f>
        <v>1.5401055348199733</v>
      </c>
      <c r="W174" s="16">
        <f t="shared" si="94"/>
        <v>3.2341589051580001E-2</v>
      </c>
      <c r="X174" s="27">
        <f t="shared" si="95"/>
        <v>28.665000000000006</v>
      </c>
      <c r="Y174" s="27">
        <f t="shared" si="96"/>
        <v>10.716216216216216</v>
      </c>
      <c r="Z174" s="4">
        <f>+(S174/$S$3)*('Finished goods'!$Q$3*'Project Ostelliere'!$S$1)</f>
        <v>0.48333073143333333</v>
      </c>
      <c r="AA174" s="4">
        <f>+'Finished goods'!$O$3*'Project Ostelliere'!T174</f>
        <v>0.61358714465983732</v>
      </c>
      <c r="AB174" s="4"/>
      <c r="AC174" s="7">
        <f t="shared" si="97"/>
        <v>42.050581216180944</v>
      </c>
    </row>
    <row r="177" spans="1:29" ht="18" x14ac:dyDescent="0.35">
      <c r="D177" s="237" t="s">
        <v>40</v>
      </c>
      <c r="E177" s="237"/>
      <c r="F177" s="237"/>
      <c r="G177" s="237"/>
      <c r="H177" s="237"/>
      <c r="I177" s="237"/>
      <c r="J177" s="237"/>
      <c r="K177" s="237"/>
      <c r="L177" s="237"/>
      <c r="M177" s="237"/>
      <c r="N177" s="237"/>
      <c r="O177" s="237"/>
      <c r="P177" s="237"/>
      <c r="Q177" s="237"/>
      <c r="R177" s="24" t="s">
        <v>32</v>
      </c>
      <c r="S177" s="47">
        <f>+S179/60/7</f>
        <v>8.2238095238095248</v>
      </c>
      <c r="T177" t="s">
        <v>83</v>
      </c>
    </row>
    <row r="178" spans="1:29" x14ac:dyDescent="0.3">
      <c r="D178" s="236" t="s">
        <v>33</v>
      </c>
      <c r="E178" s="236"/>
      <c r="F178" s="236"/>
      <c r="G178" s="236"/>
      <c r="H178" s="236"/>
      <c r="I178" s="236"/>
      <c r="J178" s="236"/>
      <c r="M178" s="236" t="s">
        <v>36</v>
      </c>
      <c r="N178" s="236"/>
      <c r="O178" s="236"/>
      <c r="P178" s="236"/>
      <c r="Q178" s="236"/>
      <c r="V178" s="241" t="s">
        <v>41</v>
      </c>
      <c r="W178" s="241"/>
      <c r="X178" s="241"/>
      <c r="Y178" s="241"/>
      <c r="Z178" s="241"/>
      <c r="AA178" s="241"/>
      <c r="AB178" s="241"/>
      <c r="AC178" s="241"/>
    </row>
    <row r="179" spans="1:29" ht="18" x14ac:dyDescent="0.35">
      <c r="F179" s="225" t="s">
        <v>44</v>
      </c>
      <c r="G179" s="225"/>
      <c r="I179" s="20">
        <f>SUBTOTAL(9,I181:I190)</f>
        <v>51.856758661111115</v>
      </c>
      <c r="J179" s="20">
        <f>SUBTOTAL(9,J181:J190)</f>
        <v>46.67108279499999</v>
      </c>
      <c r="K179" s="1">
        <f>+'Finished goods'!$I$3</f>
        <v>2500</v>
      </c>
      <c r="L179" s="1">
        <f>+'Finished goods'!$J$3</f>
        <v>0.9</v>
      </c>
      <c r="M179" s="15">
        <f>+'Finished goods'!$K$3</f>
        <v>0.50772709939119998</v>
      </c>
      <c r="N179" s="15">
        <f>+'Finished goods'!$L$3</f>
        <v>6.7889999999999999E-3</v>
      </c>
      <c r="O179" s="13">
        <f>+'Finished goods'!$M$3</f>
        <v>0.15750000000000003</v>
      </c>
      <c r="P179" s="46">
        <f>+'Finished goods'!$N$3</f>
        <v>5.8880308880308881E-2</v>
      </c>
      <c r="Q179" s="1"/>
      <c r="S179" s="17">
        <f t="shared" ref="S179:AC179" si="98">SUBTOTAL(9,S181:S190)</f>
        <v>3454</v>
      </c>
      <c r="T179" s="17">
        <f t="shared" si="98"/>
        <v>119.7720534861111</v>
      </c>
      <c r="U179" s="17">
        <f t="shared" si="98"/>
        <v>107.7948481375</v>
      </c>
      <c r="V179" s="18">
        <f t="shared" si="98"/>
        <v>29.228156688286745</v>
      </c>
      <c r="W179" s="18">
        <f t="shared" si="98"/>
        <v>0.73181922400548749</v>
      </c>
      <c r="X179" s="18">
        <f t="shared" si="98"/>
        <v>544.00500000000011</v>
      </c>
      <c r="Y179" s="18">
        <f t="shared" si="98"/>
        <v>203.37258687258691</v>
      </c>
      <c r="Z179" s="18">
        <f t="shared" si="98"/>
        <v>9.1726612437952397</v>
      </c>
      <c r="AA179" s="18">
        <f t="shared" si="98"/>
        <v>13.884131275941989</v>
      </c>
      <c r="AB179" s="18">
        <f t="shared" si="98"/>
        <v>468</v>
      </c>
      <c r="AC179" s="19">
        <f t="shared" si="98"/>
        <v>1268.3943553046165</v>
      </c>
    </row>
    <row r="180" spans="1:29" x14ac:dyDescent="0.3">
      <c r="A180" s="1" t="s">
        <v>145</v>
      </c>
      <c r="B180" s="1" t="s">
        <v>30</v>
      </c>
      <c r="C180" s="1" t="s">
        <v>0</v>
      </c>
      <c r="D180" s="1" t="s">
        <v>4</v>
      </c>
      <c r="E180" s="1" t="s">
        <v>5</v>
      </c>
      <c r="F180" s="1" t="s">
        <v>45</v>
      </c>
      <c r="G180" s="1" t="s">
        <v>57</v>
      </c>
      <c r="H180" s="1" t="s">
        <v>6</v>
      </c>
      <c r="I180" s="1" t="s">
        <v>2</v>
      </c>
      <c r="J180" s="1" t="s">
        <v>7</v>
      </c>
      <c r="K180" s="1" t="s">
        <v>31</v>
      </c>
      <c r="L180" s="1" t="s">
        <v>8</v>
      </c>
      <c r="M180" s="1" t="s">
        <v>34</v>
      </c>
      <c r="N180" s="1" t="s">
        <v>35</v>
      </c>
      <c r="O180" s="1" t="s">
        <v>37</v>
      </c>
      <c r="P180" s="1" t="s">
        <v>79</v>
      </c>
      <c r="Q180" s="1" t="s">
        <v>38</v>
      </c>
      <c r="R180" s="1" t="s">
        <v>39</v>
      </c>
      <c r="S180" s="2" t="s">
        <v>43</v>
      </c>
      <c r="T180" s="2" t="s">
        <v>2</v>
      </c>
      <c r="U180" s="2" t="s">
        <v>7</v>
      </c>
      <c r="V180" s="2">
        <f>+'Finished goods'!K180</f>
        <v>0</v>
      </c>
      <c r="W180" s="2">
        <f>+'Finished goods'!L180</f>
        <v>0</v>
      </c>
      <c r="X180" s="2">
        <f>+'Finished goods'!M180</f>
        <v>0</v>
      </c>
      <c r="Y180" s="2">
        <f>+'Finished goods'!N180</f>
        <v>0</v>
      </c>
      <c r="Z180" s="2">
        <f>+'Finished goods'!Q180</f>
        <v>0</v>
      </c>
      <c r="AA180" s="3" t="s">
        <v>111</v>
      </c>
      <c r="AB180" s="3" t="s">
        <v>115</v>
      </c>
      <c r="AC180" s="3" t="s">
        <v>42</v>
      </c>
    </row>
    <row r="181" spans="1:29" ht="14.4" customHeight="1" x14ac:dyDescent="0.3">
      <c r="A181" s="242" t="s">
        <v>422</v>
      </c>
      <c r="B181" s="21" t="s">
        <v>122</v>
      </c>
      <c r="C181" s="4" t="str">
        <f>+C165</f>
        <v>Tavolo twist Logo</v>
      </c>
      <c r="D181" s="5">
        <f>VLOOKUP($C181,'Finished goods'!$A$5:$Q$27,2,FALSE)</f>
        <v>8</v>
      </c>
      <c r="E181" s="5">
        <f>VLOOKUP($C181,'Finished goods'!$A$5:$Q$27,3,FALSE)</f>
        <v>10</v>
      </c>
      <c r="F181" s="5">
        <f>VLOOKUP($C181,'Finished goods'!$A$5:$Q$27,4,FALSE)</f>
        <v>1.22</v>
      </c>
      <c r="G181" s="5">
        <f>VLOOKUP($C181,'Finished goods'!$A$5:$Q$27,5,FALSE)</f>
        <v>82</v>
      </c>
      <c r="H181" s="8">
        <f>VLOOKUP($C181,'Finished goods'!$A$5:$Q$27,6,FALSE)</f>
        <v>7.9769999999999997E-3</v>
      </c>
      <c r="I181" s="9">
        <f>VLOOKUP($C181,'Finished goods'!$A$5:$Q$27,7,FALSE)</f>
        <v>22.158333333333331</v>
      </c>
      <c r="J181" s="9">
        <f>VLOOKUP($C181,'Finished goods'!$A$5:$Q$27,8,FALSE)</f>
        <v>19.942499999999999</v>
      </c>
      <c r="R181" s="23">
        <v>2</v>
      </c>
      <c r="S181" s="6">
        <f t="shared" ref="S181:S190" si="99">+G181*$R181</f>
        <v>164</v>
      </c>
      <c r="T181" s="6">
        <f t="shared" ref="T181:T190" si="100">+I181*$R181</f>
        <v>44.316666666666663</v>
      </c>
      <c r="U181" s="4">
        <f>+J181*$R181</f>
        <v>39.884999999999998</v>
      </c>
      <c r="V181" s="16">
        <f>+S181*$M$3/'COST DATA'!$D$26</f>
        <v>1.3877874050026131</v>
      </c>
      <c r="W181" s="16">
        <f>+U181*$N$3</f>
        <v>0.27077926499999999</v>
      </c>
      <c r="X181" s="27">
        <f>+S181*$O$3</f>
        <v>25.830000000000005</v>
      </c>
      <c r="Y181" s="27">
        <f>+S181*$P$3</f>
        <v>9.6563706563706564</v>
      </c>
      <c r="Z181" s="4">
        <f>+(S181/$S$3)*('Finished goods'!$Q$3*'Project Ostelliere'!$S$1)</f>
        <v>0.43552879096190478</v>
      </c>
      <c r="AA181" s="4">
        <f>+'Finished goods'!$O$3*'Project Ostelliere'!T181</f>
        <v>5.1372452905594805</v>
      </c>
      <c r="AB181" s="4">
        <f>+'Finished goods'!P$5*R181</f>
        <v>300</v>
      </c>
      <c r="AC181" s="7">
        <f>+V181+W181+X181+Y181+Z181+AA181+AB181</f>
        <v>342.71771140789463</v>
      </c>
    </row>
    <row r="182" spans="1:29" x14ac:dyDescent="0.3">
      <c r="A182" s="243"/>
      <c r="B182" s="21" t="s">
        <v>122</v>
      </c>
      <c r="C182" s="4" t="str">
        <f t="shared" ref="C182:C190" si="101">+C166</f>
        <v xml:space="preserve">Vaso bitorzolo curvo </v>
      </c>
      <c r="D182" s="5">
        <f>VLOOKUP($C182,'Finished goods'!$A$5:$Q$27,2,FALSE)</f>
        <v>4</v>
      </c>
      <c r="E182" s="5">
        <f>VLOOKUP($C182,'Finished goods'!$A$5:$Q$27,3,FALSE)</f>
        <v>2</v>
      </c>
      <c r="F182" s="5">
        <f>VLOOKUP($C182,'Finished goods'!$A$5:$Q$27,4,FALSE)</f>
        <v>5.21</v>
      </c>
      <c r="G182" s="5">
        <f>VLOOKUP($C182,'Finished goods'!$A$5:$Q$27,5,FALSE)</f>
        <v>321</v>
      </c>
      <c r="H182" s="8">
        <f>VLOOKUP($C182,'Finished goods'!$A$5:$Q$27,6,FALSE)</f>
        <v>6.0029599999999995E-4</v>
      </c>
      <c r="I182" s="9">
        <f>VLOOKUP($C182,'Finished goods'!$A$5:$Q$27,7,FALSE)</f>
        <v>1.6674888888888888</v>
      </c>
      <c r="J182" s="9">
        <f>VLOOKUP($C182,'Finished goods'!$A$5:$Q$27,8,FALSE)</f>
        <v>1.50074</v>
      </c>
      <c r="R182" s="23">
        <v>2</v>
      </c>
      <c r="S182" s="6">
        <f t="shared" si="99"/>
        <v>642</v>
      </c>
      <c r="T182" s="6">
        <f t="shared" si="100"/>
        <v>3.3349777777777776</v>
      </c>
      <c r="U182" s="4">
        <f t="shared" ref="U182:U190" si="102">+J182*$R182</f>
        <v>3.0014799999999999</v>
      </c>
      <c r="V182" s="16">
        <f>+S182*$M$3/'COST DATA'!$D$26</f>
        <v>5.4326799634858398</v>
      </c>
      <c r="W182" s="16">
        <f t="shared" ref="W182:W190" si="103">+U182*$N$3</f>
        <v>2.0377047719999999E-2</v>
      </c>
      <c r="X182" s="27">
        <f t="shared" ref="X182:X190" si="104">+S182*$O$3</f>
        <v>101.11500000000002</v>
      </c>
      <c r="Y182" s="27">
        <f t="shared" ref="Y182:Y190" si="105">+S182*$P$3</f>
        <v>37.801158301158303</v>
      </c>
      <c r="Z182" s="4">
        <f>+(S182/$S$3)*('Finished goods'!$Q$3*'Project Ostelliere'!$S$1)</f>
        <v>1.7049358768142857</v>
      </c>
      <c r="AA182" s="4">
        <f>+'Finished goods'!$O$3*'Project Ostelliere'!T182</f>
        <v>0.38659493530671857</v>
      </c>
      <c r="AB182" s="4"/>
      <c r="AC182" s="7">
        <f t="shared" ref="AC182:AC190" si="106">+V182+W182+X182+Y182+Z182+AA182+AB182</f>
        <v>146.46074612448518</v>
      </c>
    </row>
    <row r="183" spans="1:29" x14ac:dyDescent="0.3">
      <c r="A183" s="243"/>
      <c r="B183" s="21" t="s">
        <v>122</v>
      </c>
      <c r="C183" s="4" t="str">
        <f t="shared" si="101"/>
        <v>Vaso bitorzolo twist</v>
      </c>
      <c r="D183" s="5">
        <f>VLOOKUP($C183,'Finished goods'!$A$5:$Q$27,2,FALSE)</f>
        <v>4</v>
      </c>
      <c r="E183" s="5">
        <f>VLOOKUP($C183,'Finished goods'!$A$5:$Q$27,3,FALSE)</f>
        <v>2</v>
      </c>
      <c r="F183" s="5">
        <f>VLOOKUP($C183,'Finished goods'!$A$5:$Q$27,4,FALSE)</f>
        <v>5.15</v>
      </c>
      <c r="G183" s="5">
        <f>VLOOKUP($C183,'Finished goods'!$A$5:$Q$27,5,FALSE)</f>
        <v>315</v>
      </c>
      <c r="H183" s="8">
        <f>VLOOKUP($C183,'Finished goods'!$A$5:$Q$27,6,FALSE)</f>
        <v>8.005105E-4</v>
      </c>
      <c r="I183" s="9">
        <f>VLOOKUP($C183,'Finished goods'!$A$5:$Q$27,7,FALSE)</f>
        <v>2.2236402777777777</v>
      </c>
      <c r="J183" s="9">
        <f>VLOOKUP($C183,'Finished goods'!$A$5:$Q$27,8,FALSE)</f>
        <v>2.0012762500000001</v>
      </c>
      <c r="R183" s="23">
        <v>2</v>
      </c>
      <c r="S183" s="6">
        <f t="shared" si="99"/>
        <v>630</v>
      </c>
      <c r="T183" s="6">
        <f t="shared" si="100"/>
        <v>4.4472805555555555</v>
      </c>
      <c r="U183" s="4">
        <f t="shared" si="102"/>
        <v>4.0025525000000002</v>
      </c>
      <c r="V183" s="16">
        <f>+S183*$M$3/'COST DATA'!$D$26</f>
        <v>5.3311345436076003</v>
      </c>
      <c r="W183" s="16">
        <f t="shared" si="103"/>
        <v>2.71733289225E-2</v>
      </c>
      <c r="X183" s="27">
        <f t="shared" si="104"/>
        <v>99.225000000000023</v>
      </c>
      <c r="Y183" s="27">
        <f t="shared" si="105"/>
        <v>37.094594594594597</v>
      </c>
      <c r="Z183" s="4">
        <f>+(S183/$S$3)*('Finished goods'!$Q$3*'Project Ostelliere'!$S$1)</f>
        <v>1.6730679165000002</v>
      </c>
      <c r="AA183" s="4">
        <f>+'Finished goods'!$O$3*'Project Ostelliere'!T183</f>
        <v>0.51553451124086935</v>
      </c>
      <c r="AB183" s="4"/>
      <c r="AC183" s="7">
        <f t="shared" si="106"/>
        <v>143.86650489486561</v>
      </c>
    </row>
    <row r="184" spans="1:29" x14ac:dyDescent="0.3">
      <c r="A184" s="243"/>
      <c r="B184" s="21" t="s">
        <v>122</v>
      </c>
      <c r="C184" s="4" t="str">
        <f t="shared" si="101"/>
        <v>Vaso bitorzolo dritto</v>
      </c>
      <c r="D184" s="5">
        <f>VLOOKUP($C184,'Finished goods'!$A$5:$Q$27,2,FALSE)</f>
        <v>4</v>
      </c>
      <c r="E184" s="5">
        <f>VLOOKUP($C184,'Finished goods'!$A$5:$Q$27,3,FALSE)</f>
        <v>2</v>
      </c>
      <c r="F184" s="5">
        <f>VLOOKUP($C184,'Finished goods'!$A$5:$Q$27,4,FALSE)</f>
        <v>4.4800000000000004</v>
      </c>
      <c r="G184" s="5">
        <f>VLOOKUP($C184,'Finished goods'!$A$5:$Q$27,5,FALSE)</f>
        <v>288</v>
      </c>
      <c r="H184" s="8">
        <f>VLOOKUP($C184,'Finished goods'!$A$5:$Q$27,6,FALSE)</f>
        <v>8.2321687099999998E-4</v>
      </c>
      <c r="I184" s="9">
        <f>VLOOKUP($C184,'Finished goods'!$A$5:$Q$27,7,FALSE)</f>
        <v>2.2867135305555553</v>
      </c>
      <c r="J184" s="9">
        <f>VLOOKUP($C184,'Finished goods'!$A$5:$Q$27,8,FALSE)</f>
        <v>2.0580421775</v>
      </c>
      <c r="R184" s="23">
        <v>2</v>
      </c>
      <c r="S184" s="6">
        <f t="shared" si="99"/>
        <v>576</v>
      </c>
      <c r="T184" s="6">
        <f t="shared" si="100"/>
        <v>4.5734270611111105</v>
      </c>
      <c r="U184" s="4">
        <f t="shared" si="102"/>
        <v>4.1160843549999999</v>
      </c>
      <c r="V184" s="16">
        <f>+S184*$M$3/'COST DATA'!$D$26</f>
        <v>4.8741801541555203</v>
      </c>
      <c r="W184" s="16">
        <f t="shared" si="103"/>
        <v>2.7944096686094998E-2</v>
      </c>
      <c r="X184" s="27">
        <f t="shared" si="104"/>
        <v>90.720000000000013</v>
      </c>
      <c r="Y184" s="27">
        <f t="shared" si="105"/>
        <v>33.915057915057915</v>
      </c>
      <c r="Z184" s="4">
        <f>+(S184/$S$3)*('Finished goods'!$Q$3*'Project Ostelliere'!$S$1)</f>
        <v>1.5296620950857143</v>
      </c>
      <c r="AA184" s="4">
        <f>+'Finished goods'!$O$3*'Project Ostelliere'!T184</f>
        <v>0.53015757724130141</v>
      </c>
      <c r="AB184" s="4"/>
      <c r="AC184" s="7">
        <f t="shared" si="106"/>
        <v>131.59700183822656</v>
      </c>
    </row>
    <row r="185" spans="1:29" x14ac:dyDescent="0.3">
      <c r="A185" s="243"/>
      <c r="B185" s="21" t="s">
        <v>122</v>
      </c>
      <c r="C185" s="4" t="str">
        <f t="shared" si="101"/>
        <v>Porta riviste</v>
      </c>
      <c r="D185" s="5">
        <f>VLOOKUP($C185,'Finished goods'!$A$5:$Q$27,2,FALSE)</f>
        <v>10</v>
      </c>
      <c r="E185" s="5">
        <f>VLOOKUP($C185,'Finished goods'!$A$5:$Q$27,3,FALSE)</f>
        <v>10</v>
      </c>
      <c r="F185" s="5">
        <f>VLOOKUP($C185,'Finished goods'!$A$5:$Q$27,4,FALSE)</f>
        <v>0.42</v>
      </c>
      <c r="G185" s="5">
        <f>VLOOKUP($C185,'Finished goods'!$A$5:$Q$27,5,FALSE)</f>
        <v>42</v>
      </c>
      <c r="H185" s="8">
        <f>VLOOKUP($C185,'Finished goods'!$A$5:$Q$27,6,FALSE)</f>
        <v>3.5606798E-3</v>
      </c>
      <c r="I185" s="9">
        <f>VLOOKUP($C185,'Finished goods'!$A$5:$Q$27,7,FALSE)</f>
        <v>9.890777222222221</v>
      </c>
      <c r="J185" s="9">
        <f>VLOOKUP($C185,'Finished goods'!$A$5:$Q$27,8,FALSE)</f>
        <v>8.9016994999999994</v>
      </c>
      <c r="R185" s="23">
        <v>2</v>
      </c>
      <c r="S185" s="6">
        <f t="shared" si="99"/>
        <v>84</v>
      </c>
      <c r="T185" s="6">
        <f t="shared" si="100"/>
        <v>19.781554444444442</v>
      </c>
      <c r="U185" s="4">
        <f t="shared" si="102"/>
        <v>17.803398999999999</v>
      </c>
      <c r="V185" s="16">
        <f>+S185*$M$3/'COST DATA'!$D$26</f>
        <v>0.71081793914767988</v>
      </c>
      <c r="W185" s="16">
        <f t="shared" si="103"/>
        <v>0.12086727581099999</v>
      </c>
      <c r="X185" s="27">
        <f t="shared" si="104"/>
        <v>13.230000000000002</v>
      </c>
      <c r="Y185" s="27">
        <f t="shared" si="105"/>
        <v>4.9459459459459456</v>
      </c>
      <c r="Z185" s="4">
        <f>+(S185/$S$3)*('Finished goods'!$Q$3*'Project Ostelliere'!$S$1)</f>
        <v>0.22307572219999999</v>
      </c>
      <c r="AA185" s="4">
        <f>+'Finished goods'!$O$3*'Project Ostelliere'!T185</f>
        <v>2.2931033638887142</v>
      </c>
      <c r="AB185" s="4"/>
      <c r="AC185" s="7">
        <f t="shared" si="106"/>
        <v>21.523810246993346</v>
      </c>
    </row>
    <row r="186" spans="1:29" x14ac:dyDescent="0.3">
      <c r="A186" s="243"/>
      <c r="B186" s="21" t="s">
        <v>122</v>
      </c>
      <c r="C186" s="4" t="str">
        <f t="shared" si="101"/>
        <v>Lampada 90 grossa</v>
      </c>
      <c r="D186" s="5">
        <f>VLOOKUP($C186,'Finished goods'!$A$5:$Q$27,2,FALSE)</f>
        <v>8</v>
      </c>
      <c r="E186" s="5">
        <f>VLOOKUP($C186,'Finished goods'!$A$5:$Q$27,3,FALSE)</f>
        <v>10</v>
      </c>
      <c r="F186" s="5">
        <f>VLOOKUP($C186,'Finished goods'!$A$5:$Q$27,4,FALSE)</f>
        <v>1.39</v>
      </c>
      <c r="G186" s="5">
        <f>VLOOKUP($C186,'Finished goods'!$A$5:$Q$27,5,FALSE)</f>
        <v>99</v>
      </c>
      <c r="H186" s="8">
        <f>VLOOKUP($C186,'Finished goods'!$A$5:$Q$27,6,FALSE)</f>
        <v>1.7366300000000001E-3</v>
      </c>
      <c r="I186" s="9">
        <f>VLOOKUP($C186,'Finished goods'!$A$5:$Q$27,7,FALSE)</f>
        <v>4.8239722222222232</v>
      </c>
      <c r="J186" s="9">
        <f>VLOOKUP($C186,'Finished goods'!$A$5:$Q$27,8,FALSE)</f>
        <v>4.3415750000000006</v>
      </c>
      <c r="R186" s="23">
        <v>1</v>
      </c>
      <c r="S186" s="6">
        <f t="shared" si="99"/>
        <v>99</v>
      </c>
      <c r="T186" s="6">
        <f t="shared" si="100"/>
        <v>4.8239722222222232</v>
      </c>
      <c r="U186" s="4">
        <f t="shared" si="102"/>
        <v>4.3415750000000006</v>
      </c>
      <c r="V186" s="16">
        <f>+S186*$M$3/'COST DATA'!$D$26</f>
        <v>0.83774971399547993</v>
      </c>
      <c r="W186" s="16">
        <f t="shared" si="103"/>
        <v>2.9474952675000003E-2</v>
      </c>
      <c r="X186" s="27">
        <f t="shared" si="104"/>
        <v>15.592500000000003</v>
      </c>
      <c r="Y186" s="27">
        <f t="shared" si="105"/>
        <v>5.8291505791505793</v>
      </c>
      <c r="Z186" s="4">
        <f>+(S186/$S$3)*('Finished goods'!$Q$3*'Project Ostelliere'!$S$1)</f>
        <v>0.26291067259285716</v>
      </c>
      <c r="AA186" s="4">
        <f>+'Finished goods'!$O$3*'Project Ostelliere'!T186</f>
        <v>0.55920109621062508</v>
      </c>
      <c r="AB186" s="4">
        <f>+'Finished goods'!P$10*R186</f>
        <v>24</v>
      </c>
      <c r="AC186" s="7">
        <f t="shared" si="106"/>
        <v>47.110987014624541</v>
      </c>
    </row>
    <row r="187" spans="1:29" x14ac:dyDescent="0.3">
      <c r="A187" s="243"/>
      <c r="B187" s="21" t="s">
        <v>122</v>
      </c>
      <c r="C187" s="4" t="str">
        <f t="shared" si="101"/>
        <v>Lampada 90 piccola</v>
      </c>
      <c r="D187" s="5">
        <f>VLOOKUP($C187,'Finished goods'!$A$5:$Q$27,2,FALSE)</f>
        <v>5</v>
      </c>
      <c r="E187" s="5">
        <f>VLOOKUP($C187,'Finished goods'!$A$5:$Q$27,3,FALSE)</f>
        <v>10</v>
      </c>
      <c r="F187" s="5">
        <f>VLOOKUP($C187,'Finished goods'!$A$5:$Q$27,4,FALSE)</f>
        <v>1.1499999999999999</v>
      </c>
      <c r="G187" s="5">
        <f>VLOOKUP($C187,'Finished goods'!$A$5:$Q$27,5,FALSE)</f>
        <v>75</v>
      </c>
      <c r="H187" s="8">
        <f>VLOOKUP($C187,'Finished goods'!$A$5:$Q$27,6,FALSE)</f>
        <v>8.1557296000000004E-4</v>
      </c>
      <c r="I187" s="9">
        <f>VLOOKUP($C187,'Finished goods'!$A$5:$Q$27,7,FALSE)</f>
        <v>2.2654804444444445</v>
      </c>
      <c r="J187" s="9">
        <f>VLOOKUP($C187,'Finished goods'!$A$5:$Q$27,8,FALSE)</f>
        <v>2.0389324000000002</v>
      </c>
      <c r="R187" s="23">
        <v>6</v>
      </c>
      <c r="S187" s="6">
        <f t="shared" si="99"/>
        <v>450</v>
      </c>
      <c r="T187" s="6">
        <f t="shared" si="100"/>
        <v>13.592882666666668</v>
      </c>
      <c r="U187" s="4">
        <f t="shared" si="102"/>
        <v>12.233594400000001</v>
      </c>
      <c r="V187" s="16">
        <f>+S187*$M$3/'COST DATA'!$D$26</f>
        <v>3.8079532454339997</v>
      </c>
      <c r="W187" s="16">
        <f t="shared" si="103"/>
        <v>8.3053872381600002E-2</v>
      </c>
      <c r="X187" s="27">
        <f t="shared" si="104"/>
        <v>70.875000000000014</v>
      </c>
      <c r="Y187" s="27">
        <f t="shared" si="105"/>
        <v>26.496138996138995</v>
      </c>
      <c r="Z187" s="4">
        <f>+(S187/$S$3)*('Finished goods'!$Q$3*'Project Ostelliere'!$S$1)</f>
        <v>1.1950485117857144</v>
      </c>
      <c r="AA187" s="4">
        <f>+'Finished goods'!$O$3*'Project Ostelliere'!T187</f>
        <v>1.5757045309769298</v>
      </c>
      <c r="AB187" s="4">
        <f>+'Finished goods'!P$11*R187</f>
        <v>144</v>
      </c>
      <c r="AC187" s="7">
        <f t="shared" si="106"/>
        <v>248.03289915671726</v>
      </c>
    </row>
    <row r="188" spans="1:29" x14ac:dyDescent="0.3">
      <c r="A188" s="243"/>
      <c r="B188" s="21" t="s">
        <v>122</v>
      </c>
      <c r="C188" s="4" t="str">
        <f t="shared" si="101"/>
        <v>Vaso Logo</v>
      </c>
      <c r="D188" s="5">
        <f>VLOOKUP($C188,'Finished goods'!$A$5:$Q$27,2,FALSE)</f>
        <v>5</v>
      </c>
      <c r="E188" s="5">
        <f>VLOOKUP($C188,'Finished goods'!$A$5:$Q$27,3,FALSE)</f>
        <v>10</v>
      </c>
      <c r="F188" s="5">
        <f>VLOOKUP($C188,'Finished goods'!$A$5:$Q$27,4,FALSE)</f>
        <v>0.39</v>
      </c>
      <c r="G188" s="5">
        <f>VLOOKUP($C188,'Finished goods'!$A$5:$Q$27,5,FALSE)</f>
        <v>39</v>
      </c>
      <c r="H188" s="8">
        <f>VLOOKUP($C188,'Finished goods'!$A$5:$Q$27,6,FALSE)</f>
        <v>1.1639584900000001E-3</v>
      </c>
      <c r="I188" s="9">
        <f>VLOOKUP($C188,'Finished goods'!$A$5:$Q$27,7,FALSE)</f>
        <v>3.2332180277777778</v>
      </c>
      <c r="J188" s="9">
        <f>VLOOKUP($C188,'Finished goods'!$A$5:$Q$27,8,FALSE)</f>
        <v>2.9098962250000002</v>
      </c>
      <c r="R188" s="23">
        <v>3</v>
      </c>
      <c r="S188" s="6">
        <f t="shared" si="99"/>
        <v>117</v>
      </c>
      <c r="T188" s="6">
        <f t="shared" si="100"/>
        <v>9.6996540833333338</v>
      </c>
      <c r="U188" s="4">
        <f t="shared" si="102"/>
        <v>8.7296886750000002</v>
      </c>
      <c r="V188" s="16">
        <f>+S188*$M$3/'COST DATA'!$D$26</f>
        <v>0.99006784381283996</v>
      </c>
      <c r="W188" s="16">
        <f t="shared" si="103"/>
        <v>5.9265856414574998E-2</v>
      </c>
      <c r="X188" s="27">
        <f t="shared" si="104"/>
        <v>18.427500000000002</v>
      </c>
      <c r="Y188" s="27">
        <f t="shared" si="105"/>
        <v>6.8889961389961387</v>
      </c>
      <c r="Z188" s="4">
        <f>+(S188/$S$3)*('Finished goods'!$Q$3*'Project Ostelliere'!$S$1)</f>
        <v>0.31071261306428571</v>
      </c>
      <c r="AA188" s="4">
        <f>+'Finished goods'!$O$3*'Project Ostelliere'!T188</f>
        <v>1.1243964406091058</v>
      </c>
      <c r="AB188" s="4"/>
      <c r="AC188" s="7">
        <f t="shared" si="106"/>
        <v>27.800938892896948</v>
      </c>
    </row>
    <row r="189" spans="1:29" x14ac:dyDescent="0.3">
      <c r="A189" s="243"/>
      <c r="B189" s="21" t="s">
        <v>122</v>
      </c>
      <c r="C189" s="4" t="str">
        <f t="shared" si="101"/>
        <v>Copri candela</v>
      </c>
      <c r="D189" s="5">
        <f>VLOOKUP($C189,'Finished goods'!$A$5:$Q$27,2,FALSE)</f>
        <v>4</v>
      </c>
      <c r="E189" s="5">
        <f>VLOOKUP($C189,'Finished goods'!$A$5:$Q$27,3,FALSE)</f>
        <v>5</v>
      </c>
      <c r="F189" s="5">
        <f>VLOOKUP($C189,'Finished goods'!$A$5:$Q$27,4,FALSE)</f>
        <v>0.34</v>
      </c>
      <c r="G189" s="5">
        <f>VLOOKUP($C189,'Finished goods'!$A$5:$Q$27,5,FALSE)</f>
        <v>34</v>
      </c>
      <c r="H189" s="8">
        <f>VLOOKUP($C189,'Finished goods'!$A$5:$Q$27,6,FALSE)</f>
        <v>2.3780405299999999E-4</v>
      </c>
      <c r="I189" s="9">
        <f>VLOOKUP($C189,'Finished goods'!$A$5:$Q$27,7,FALSE)</f>
        <v>0.66056681388888883</v>
      </c>
      <c r="J189" s="9">
        <f>VLOOKUP($C189,'Finished goods'!$A$5:$Q$27,8,FALSE)</f>
        <v>0.59451013249999995</v>
      </c>
      <c r="R189" s="23">
        <v>15</v>
      </c>
      <c r="S189" s="6">
        <f t="shared" si="99"/>
        <v>510</v>
      </c>
      <c r="T189" s="6">
        <f t="shared" si="100"/>
        <v>9.9085022083333332</v>
      </c>
      <c r="U189" s="4">
        <f t="shared" si="102"/>
        <v>8.9176519874999993</v>
      </c>
      <c r="V189" s="16">
        <f>+S189*$M$3/'COST DATA'!$D$26</f>
        <v>4.3156803448251999</v>
      </c>
      <c r="W189" s="16">
        <f t="shared" si="103"/>
        <v>6.0541939343137494E-2</v>
      </c>
      <c r="X189" s="27">
        <f t="shared" si="104"/>
        <v>80.325000000000017</v>
      </c>
      <c r="Y189" s="27">
        <f t="shared" si="105"/>
        <v>30.02895752895753</v>
      </c>
      <c r="Z189" s="4">
        <f>+(S189/$S$3)*('Finished goods'!$Q$3*'Project Ostelliere'!$S$1)</f>
        <v>1.3543883133571428</v>
      </c>
      <c r="AA189" s="4">
        <f>+'Finished goods'!$O$3*'Project Ostelliere'!T189</f>
        <v>1.1486063852484083</v>
      </c>
      <c r="AB189" s="4"/>
      <c r="AC189" s="7">
        <f t="shared" si="106"/>
        <v>117.23317451173145</v>
      </c>
    </row>
    <row r="190" spans="1:29" x14ac:dyDescent="0.3">
      <c r="A190" s="244"/>
      <c r="B190" s="21" t="s">
        <v>122</v>
      </c>
      <c r="C190" s="4" t="str">
        <f t="shared" si="101"/>
        <v xml:space="preserve">Vaso Grosso </v>
      </c>
      <c r="D190" s="5">
        <f>VLOOKUP($C190,'Finished goods'!$A$5:$Q$27,2,FALSE)</f>
        <v>4</v>
      </c>
      <c r="E190" s="5">
        <f>VLOOKUP($C190,'Finished goods'!$A$5:$Q$27,3,FALSE)</f>
        <v>5</v>
      </c>
      <c r="F190" s="5">
        <f>VLOOKUP($C190,'Finished goods'!$A$5:$Q$27,4,FALSE)</f>
        <v>1.31</v>
      </c>
      <c r="G190" s="5">
        <f>VLOOKUP($C190,'Finished goods'!$A$5:$Q$27,5,FALSE)</f>
        <v>91</v>
      </c>
      <c r="H190" s="8">
        <f>VLOOKUP($C190,'Finished goods'!$A$5:$Q$27,6,FALSE)</f>
        <v>9.52764444E-4</v>
      </c>
      <c r="I190" s="9">
        <f>VLOOKUP($C190,'Finished goods'!$A$5:$Q$27,7,FALSE)</f>
        <v>2.6465679</v>
      </c>
      <c r="J190" s="9">
        <f>VLOOKUP($C190,'Finished goods'!$A$5:$Q$27,8,FALSE)</f>
        <v>2.3819111099999999</v>
      </c>
      <c r="R190" s="23">
        <v>2</v>
      </c>
      <c r="S190" s="6">
        <f t="shared" si="99"/>
        <v>182</v>
      </c>
      <c r="T190" s="6">
        <f t="shared" si="100"/>
        <v>5.2931357999999999</v>
      </c>
      <c r="U190" s="4">
        <f t="shared" si="102"/>
        <v>4.7638222199999998</v>
      </c>
      <c r="V190" s="16">
        <f>+S190*$M$3/'COST DATA'!$D$26</f>
        <v>1.5401055348199733</v>
      </c>
      <c r="W190" s="16">
        <f t="shared" si="103"/>
        <v>3.2341589051580001E-2</v>
      </c>
      <c r="X190" s="27">
        <f t="shared" si="104"/>
        <v>28.665000000000006</v>
      </c>
      <c r="Y190" s="27">
        <f t="shared" si="105"/>
        <v>10.716216216216216</v>
      </c>
      <c r="Z190" s="4">
        <f>+(S190/$S$3)*('Finished goods'!$Q$3*'Project Ostelliere'!$S$1)</f>
        <v>0.48333073143333333</v>
      </c>
      <c r="AA190" s="4">
        <f>+'Finished goods'!$O$3*'Project Ostelliere'!T190</f>
        <v>0.61358714465983732</v>
      </c>
      <c r="AB190" s="4"/>
      <c r="AC190" s="7">
        <f t="shared" si="106"/>
        <v>42.050581216180944</v>
      </c>
    </row>
  </sheetData>
  <autoFilter ref="A4:AC4" xr:uid="{69C78956-074F-4A76-A880-A41663A14240}"/>
  <mergeCells count="72">
    <mergeCell ref="V178:AC178"/>
    <mergeCell ref="F179:G179"/>
    <mergeCell ref="A181:A190"/>
    <mergeCell ref="D177:Q177"/>
    <mergeCell ref="D178:J178"/>
    <mergeCell ref="M178:Q178"/>
    <mergeCell ref="V162:AC162"/>
    <mergeCell ref="F163:G163"/>
    <mergeCell ref="A165:A174"/>
    <mergeCell ref="F147:G147"/>
    <mergeCell ref="A149:A158"/>
    <mergeCell ref="D161:Q161"/>
    <mergeCell ref="D162:J162"/>
    <mergeCell ref="M162:Q162"/>
    <mergeCell ref="V130:AC130"/>
    <mergeCell ref="F131:G131"/>
    <mergeCell ref="A133:A142"/>
    <mergeCell ref="D145:Q145"/>
    <mergeCell ref="D146:J146"/>
    <mergeCell ref="M146:Q146"/>
    <mergeCell ref="V146:AC146"/>
    <mergeCell ref="F115:G115"/>
    <mergeCell ref="A117:A126"/>
    <mergeCell ref="D129:Q129"/>
    <mergeCell ref="D130:J130"/>
    <mergeCell ref="M130:Q130"/>
    <mergeCell ref="V98:AC98"/>
    <mergeCell ref="F99:G99"/>
    <mergeCell ref="A101:A110"/>
    <mergeCell ref="D113:Q113"/>
    <mergeCell ref="D114:J114"/>
    <mergeCell ref="M114:Q114"/>
    <mergeCell ref="V114:AC114"/>
    <mergeCell ref="F83:G83"/>
    <mergeCell ref="A85:A94"/>
    <mergeCell ref="D97:Q97"/>
    <mergeCell ref="D98:J98"/>
    <mergeCell ref="M98:Q98"/>
    <mergeCell ref="V66:AC66"/>
    <mergeCell ref="F67:G67"/>
    <mergeCell ref="A69:A78"/>
    <mergeCell ref="D81:Q81"/>
    <mergeCell ref="D82:J82"/>
    <mergeCell ref="M82:Q82"/>
    <mergeCell ref="V82:AC82"/>
    <mergeCell ref="F51:G51"/>
    <mergeCell ref="A53:A62"/>
    <mergeCell ref="D65:Q65"/>
    <mergeCell ref="D66:J66"/>
    <mergeCell ref="M66:Q66"/>
    <mergeCell ref="V34:AC34"/>
    <mergeCell ref="F35:G35"/>
    <mergeCell ref="A37:A46"/>
    <mergeCell ref="D49:Q49"/>
    <mergeCell ref="D50:J50"/>
    <mergeCell ref="M50:Q50"/>
    <mergeCell ref="V50:AC50"/>
    <mergeCell ref="A5:A14"/>
    <mergeCell ref="A21:A30"/>
    <mergeCell ref="D33:Q33"/>
    <mergeCell ref="D34:J34"/>
    <mergeCell ref="M34:Q34"/>
    <mergeCell ref="D17:Q17"/>
    <mergeCell ref="D18:J18"/>
    <mergeCell ref="M18:Q18"/>
    <mergeCell ref="V18:AC18"/>
    <mergeCell ref="F19:G19"/>
    <mergeCell ref="D1:Q1"/>
    <mergeCell ref="D2:J2"/>
    <mergeCell ref="M2:Q2"/>
    <mergeCell ref="V2:AC2"/>
    <mergeCell ref="F3:G3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FDC57-52E6-4855-AA5C-D29E125DB80F}">
  <sheetPr>
    <tabColor theme="3" tint="0.499984740745262"/>
  </sheetPr>
  <dimension ref="A1:AC202"/>
  <sheetViews>
    <sheetView zoomScale="86" zoomScaleNormal="85" workbookViewId="0">
      <pane xSplit="3" ySplit="4" topLeftCell="D5" activePane="bottomRight" state="frozen"/>
      <selection activeCell="B4" sqref="B4"/>
      <selection pane="topRight" activeCell="B4" sqref="B4"/>
      <selection pane="bottomLeft" activeCell="B4" sqref="B4"/>
      <selection pane="bottomRight" activeCell="R203" sqref="R203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bestFit="1" customWidth="1"/>
    <col min="6" max="6" width="8.44140625" bestFit="1" customWidth="1"/>
    <col min="7" max="7" width="8.44140625" customWidth="1"/>
    <col min="8" max="8" width="15.44140625" bestFit="1" customWidth="1"/>
    <col min="9" max="10" width="14" bestFit="1" customWidth="1"/>
    <col min="11" max="11" width="10.44140625" hidden="1" customWidth="1" outlineLevel="1"/>
    <col min="12" max="12" width="13.44140625" hidden="1" customWidth="1" outlineLevel="1"/>
    <col min="13" max="13" width="16.5546875" hidden="1" customWidth="1" outlineLevel="1"/>
    <col min="14" max="14" width="14.6640625" hidden="1" customWidth="1" outlineLevel="1"/>
    <col min="15" max="15" width="14" hidden="1" customWidth="1" outlineLevel="1"/>
    <col min="16" max="16" width="13.664062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6.5546875" bestFit="1" customWidth="1"/>
    <col min="23" max="23" width="14.6640625" bestFit="1" customWidth="1"/>
    <col min="24" max="24" width="14" bestFit="1" customWidth="1"/>
    <col min="25" max="25" width="13.6640625" bestFit="1" customWidth="1"/>
    <col min="26" max="26" width="15.88671875" bestFit="1" customWidth="1"/>
    <col min="27" max="28" width="15.88671875" customWidth="1"/>
    <col min="29" max="29" width="14.6640625" bestFit="1" customWidth="1"/>
  </cols>
  <sheetData>
    <row r="1" spans="1:29" ht="18" x14ac:dyDescent="0.35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4" t="s">
        <v>32</v>
      </c>
      <c r="S1" s="47">
        <f>+S3/60/7</f>
        <v>10.357142857142858</v>
      </c>
      <c r="T1" t="s">
        <v>83</v>
      </c>
    </row>
    <row r="2" spans="1:29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41" t="s">
        <v>41</v>
      </c>
      <c r="W2" s="241"/>
      <c r="X2" s="241"/>
      <c r="Y2" s="241"/>
      <c r="Z2" s="241"/>
      <c r="AA2" s="241"/>
      <c r="AB2" s="241"/>
      <c r="AC2" s="241"/>
    </row>
    <row r="3" spans="1:29" ht="18" x14ac:dyDescent="0.35">
      <c r="F3" s="225" t="s">
        <v>44</v>
      </c>
      <c r="G3" s="225"/>
      <c r="I3" s="20">
        <f>SUBTOTAL(9,I5:I15)</f>
        <v>6.7672086749999991</v>
      </c>
      <c r="J3" s="20">
        <f>SUBTOTAL(9,J5:J15)</f>
        <v>6.0904878074999997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 t="shared" ref="S3:AC3" si="0">SUBTOTAL(9,S5:S15)</f>
        <v>4350</v>
      </c>
      <c r="T3" s="17">
        <f t="shared" si="0"/>
        <v>33.717334016666669</v>
      </c>
      <c r="U3" s="17">
        <f t="shared" si="0"/>
        <v>30.345600615000002</v>
      </c>
      <c r="V3" s="18">
        <f t="shared" si="0"/>
        <v>36.810214705862002</v>
      </c>
      <c r="W3" s="18">
        <f t="shared" si="0"/>
        <v>0.20601628257523499</v>
      </c>
      <c r="X3" s="18">
        <f t="shared" si="0"/>
        <v>685.125</v>
      </c>
      <c r="Y3" s="18">
        <f t="shared" si="0"/>
        <v>256.12934362934362</v>
      </c>
      <c r="Z3" s="18">
        <f t="shared" si="0"/>
        <v>11.552135613928572</v>
      </c>
      <c r="AA3" s="18">
        <f t="shared" si="0"/>
        <v>3.9085569474390782</v>
      </c>
      <c r="AB3" s="18">
        <f t="shared" si="0"/>
        <v>0</v>
      </c>
      <c r="AC3" s="19">
        <f t="shared" si="0"/>
        <v>993.73126717914852</v>
      </c>
    </row>
    <row r="4" spans="1:29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79</v>
      </c>
      <c r="Q4" s="1" t="s">
        <v>38</v>
      </c>
      <c r="R4" s="1" t="s">
        <v>39</v>
      </c>
      <c r="S4" s="2" t="s">
        <v>43</v>
      </c>
      <c r="T4" s="2" t="s">
        <v>2</v>
      </c>
      <c r="U4" s="2" t="s">
        <v>7</v>
      </c>
      <c r="V4" s="2" t="str">
        <f>+'Finished goods'!K4</f>
        <v>energia €/h</v>
      </c>
      <c r="W4" s="2" t="str">
        <f>+'Finished goods'!L4</f>
        <v>materiale €/Kg</v>
      </c>
      <c r="X4" s="2" t="str">
        <f>+'Finished goods'!M4</f>
        <v>mod</v>
      </c>
      <c r="Y4" s="2" t="str">
        <f>+'Finished goods'!N4</f>
        <v>ammort</v>
      </c>
      <c r="Z4" s="2" t="str">
        <f>+'Finished goods'!Q4</f>
        <v>Accensione</v>
      </c>
      <c r="AA4" s="3" t="s">
        <v>111</v>
      </c>
      <c r="AB4" s="3" t="s">
        <v>115</v>
      </c>
      <c r="AC4" s="3" t="s">
        <v>42</v>
      </c>
    </row>
    <row r="5" spans="1:29" ht="14.4" customHeight="1" x14ac:dyDescent="0.3">
      <c r="A5" s="242" t="s">
        <v>411</v>
      </c>
      <c r="B5" s="21" t="s">
        <v>123</v>
      </c>
      <c r="C5" s="4" t="str">
        <f>+'Finished goods'!A15</f>
        <v>Bicchiere curve dritto</v>
      </c>
      <c r="D5" s="5">
        <f>VLOOKUP($C5,'Finished goods'!$A$5:$Q$27,2,FALSE)</f>
        <v>2</v>
      </c>
      <c r="E5" s="5">
        <f>VLOOKUP($C5,'Finished goods'!$A$5:$Q$27,3,FALSE)</f>
        <v>2</v>
      </c>
      <c r="F5" s="5">
        <f>VLOOKUP($C5,'Finished goods'!$A$5:$Q$27,4,FALSE)</f>
        <v>0.26</v>
      </c>
      <c r="G5" s="5">
        <f>VLOOKUP($C5,'Finished goods'!$A$5:$Q$27,5,FALSE)</f>
        <v>26</v>
      </c>
      <c r="H5" s="8">
        <f>VLOOKUP($C5,'Finished goods'!$A$5:$Q$27,6,FALSE)</f>
        <v>1.6928511099999999E-4</v>
      </c>
      <c r="I5" s="9">
        <f>VLOOKUP($C5,'Finished goods'!$A$5:$Q$27,7,FALSE)</f>
        <v>0.47023641944444439</v>
      </c>
      <c r="J5" s="9">
        <f>VLOOKUP($C5,'Finished goods'!$A$5:$Q$27,8,FALSE)</f>
        <v>0.42321277749999997</v>
      </c>
      <c r="R5" s="23">
        <v>12</v>
      </c>
      <c r="S5" s="6">
        <f t="shared" ref="S5:S15" si="1">+G5*$R5</f>
        <v>312</v>
      </c>
      <c r="T5" s="6">
        <f t="shared" ref="T5:T15" si="2">+I5*$R5</f>
        <v>5.6428370333333326</v>
      </c>
      <c r="U5" s="4">
        <f t="shared" ref="U5:U15" si="3">+J5*$R5</f>
        <v>5.0785533300000001</v>
      </c>
      <c r="V5" s="16">
        <f>+S5*$M$3/'COST DATA'!$D$26</f>
        <v>2.6401809168342401</v>
      </c>
      <c r="W5" s="16">
        <f>+U5*$N$3</f>
        <v>3.4478298557370002E-2</v>
      </c>
      <c r="X5" s="27">
        <f>+S5*$O$3</f>
        <v>49.140000000000008</v>
      </c>
      <c r="Y5" s="4">
        <f>+S5*$P$3</f>
        <v>18.37065637065637</v>
      </c>
      <c r="Z5" s="4">
        <f>+(S5/$S$3)*('Finished goods'!$Q$3*$S$1)</f>
        <v>0.82856696817142861</v>
      </c>
      <c r="AA5" s="4">
        <f>+'Finished goods'!$O$3*'Project Orto'!T5</f>
        <v>0.65412496370559525</v>
      </c>
      <c r="AB5" s="4"/>
      <c r="AC5" s="7">
        <f>+V5+W5+X5+Y5+Z5+AA5+AB5</f>
        <v>71.668007517925005</v>
      </c>
    </row>
    <row r="6" spans="1:29" x14ac:dyDescent="0.3">
      <c r="A6" s="243"/>
      <c r="B6" s="21" t="s">
        <v>123</v>
      </c>
      <c r="C6" s="4" t="str">
        <f>+'Finished goods'!A16</f>
        <v>Bicchiere curve twist</v>
      </c>
      <c r="D6" s="5">
        <f>VLOOKUP($C6,'Finished goods'!$A$5:$Q$27,2,FALSE)</f>
        <v>2</v>
      </c>
      <c r="E6" s="5">
        <f>VLOOKUP($C6,'Finished goods'!$A$5:$Q$27,3,FALSE)</f>
        <v>2</v>
      </c>
      <c r="F6" s="5">
        <f>VLOOKUP($C6,'Finished goods'!$A$5:$Q$27,4,FALSE)</f>
        <v>0.25</v>
      </c>
      <c r="G6" s="5">
        <f>VLOOKUP($C6,'Finished goods'!$A$5:$Q$27,5,FALSE)</f>
        <v>25</v>
      </c>
      <c r="H6" s="8">
        <f>VLOOKUP($C6,'Finished goods'!$A$5:$Q$27,6,FALSE)</f>
        <v>1.69285896E-4</v>
      </c>
      <c r="I6" s="9">
        <f>VLOOKUP($C6,'Finished goods'!$A$5:$Q$27,7,FALSE)</f>
        <v>0.47023859999999995</v>
      </c>
      <c r="J6" s="9">
        <f>VLOOKUP($C6,'Finished goods'!$A$5:$Q$27,8,FALSE)</f>
        <v>0.42321473999999998</v>
      </c>
      <c r="R6" s="23">
        <v>12</v>
      </c>
      <c r="S6" s="6">
        <f t="shared" si="1"/>
        <v>300</v>
      </c>
      <c r="T6" s="6">
        <f t="shared" si="2"/>
        <v>5.642863199999999</v>
      </c>
      <c r="U6" s="4">
        <f t="shared" si="3"/>
        <v>5.07857688</v>
      </c>
      <c r="V6" s="16">
        <f>+S6*$M$3/'COST DATA'!$D$26</f>
        <v>2.5386354969559997</v>
      </c>
      <c r="W6" s="16">
        <f t="shared" ref="W6:W15" si="4">+U6*$N$3</f>
        <v>3.4478458438320002E-2</v>
      </c>
      <c r="X6" s="27">
        <f t="shared" ref="X6:X15" si="5">+S6*$O$3</f>
        <v>47.250000000000007</v>
      </c>
      <c r="Y6" s="4">
        <f t="shared" ref="Y6:Y15" si="6">+S6*$P$3</f>
        <v>17.664092664092664</v>
      </c>
      <c r="Z6" s="4">
        <f>+(S6/$S$3)*('Finished goods'!$Q$3*$S$1)</f>
        <v>0.79669900785714287</v>
      </c>
      <c r="AA6" s="4">
        <f>+'Finished goods'!$O$3*'Project Orto'!T6</f>
        <v>0.65412799697942225</v>
      </c>
      <c r="AB6" s="4"/>
      <c r="AC6" s="7">
        <f t="shared" ref="AC6:AC15" si="7">+V6+W6+X6+Y6+Z6+AA6+AB6</f>
        <v>68.938033624323552</v>
      </c>
    </row>
    <row r="7" spans="1:29" x14ac:dyDescent="0.3">
      <c r="A7" s="243"/>
      <c r="B7" s="21" t="s">
        <v>123</v>
      </c>
      <c r="C7" s="4" t="str">
        <f>+'Finished goods'!A17</f>
        <v>Caraffa curva</v>
      </c>
      <c r="D7" s="5">
        <f>VLOOKUP($C7,'Finished goods'!$A$5:$Q$27,2,FALSE)</f>
        <v>2</v>
      </c>
      <c r="E7" s="5">
        <f>VLOOKUP($C7,'Finished goods'!$A$5:$Q$27,3,FALSE)</f>
        <v>2</v>
      </c>
      <c r="F7" s="5">
        <f>VLOOKUP($C7,'Finished goods'!$A$5:$Q$27,4,FALSE)</f>
        <v>0.56999999999999995</v>
      </c>
      <c r="G7" s="5">
        <f>VLOOKUP($C7,'Finished goods'!$A$5:$Q$27,5,FALSE)</f>
        <v>57</v>
      </c>
      <c r="H7" s="8">
        <f>VLOOKUP($C7,'Finished goods'!$A$5:$Q$27,6,FALSE)</f>
        <v>3.69342133E-4</v>
      </c>
      <c r="I7" s="9">
        <f>VLOOKUP($C7,'Finished goods'!$A$5:$Q$27,7,FALSE)</f>
        <v>1.0259503694444445</v>
      </c>
      <c r="J7" s="9">
        <f>VLOOKUP($C7,'Finished goods'!$A$5:$Q$27,8,FALSE)</f>
        <v>0.92335533250000001</v>
      </c>
      <c r="R7" s="23">
        <v>2</v>
      </c>
      <c r="S7" s="6">
        <f t="shared" si="1"/>
        <v>114</v>
      </c>
      <c r="T7" s="6">
        <f t="shared" si="2"/>
        <v>2.051900738888889</v>
      </c>
      <c r="U7" s="4">
        <f t="shared" si="3"/>
        <v>1.846710665</v>
      </c>
      <c r="V7" s="16">
        <f>+S7*$M$3/'COST DATA'!$D$26</f>
        <v>0.96468148884327987</v>
      </c>
      <c r="W7" s="16">
        <f t="shared" si="4"/>
        <v>1.2537318704685E-2</v>
      </c>
      <c r="X7" s="27">
        <f t="shared" si="5"/>
        <v>17.955000000000002</v>
      </c>
      <c r="Y7" s="4">
        <f t="shared" si="6"/>
        <v>6.7123552123552122</v>
      </c>
      <c r="Z7" s="4">
        <f>+(S7/$S$3)*('Finished goods'!$Q$3*$S$1)</f>
        <v>0.30274562298571428</v>
      </c>
      <c r="AA7" s="4">
        <f>+'Finished goods'!$O$3*'Project Orto'!T7</f>
        <v>0.23785898625541477</v>
      </c>
      <c r="AB7" s="4"/>
      <c r="AC7" s="7">
        <f t="shared" si="7"/>
        <v>26.185178629144307</v>
      </c>
    </row>
    <row r="8" spans="1:29" x14ac:dyDescent="0.3">
      <c r="A8" s="243"/>
      <c r="B8" s="21" t="s">
        <v>123</v>
      </c>
      <c r="C8" s="4" t="str">
        <f>+'Finished goods'!A18</f>
        <v>Caraffa colonna dritta</v>
      </c>
      <c r="D8" s="5">
        <f>VLOOKUP($C8,'Finished goods'!$A$5:$Q$27,2,FALSE)</f>
        <v>2</v>
      </c>
      <c r="E8" s="5">
        <f>VLOOKUP($C8,'Finished goods'!$A$5:$Q$27,3,FALSE)</f>
        <v>1</v>
      </c>
      <c r="F8" s="5">
        <f>VLOOKUP($C8,'Finished goods'!$A$5:$Q$27,4,FALSE)</f>
        <v>1.4</v>
      </c>
      <c r="G8" s="5">
        <f>VLOOKUP($C8,'Finished goods'!$A$5:$Q$27,5,FALSE)</f>
        <v>100</v>
      </c>
      <c r="H8" s="8">
        <f>VLOOKUP($C8,'Finished goods'!$A$5:$Q$27,6,FALSE)</f>
        <v>3.2796365999999998E-4</v>
      </c>
      <c r="I8" s="9">
        <f>VLOOKUP($C8,'Finished goods'!$A$5:$Q$27,7,FALSE)</f>
        <v>0.91101016666666657</v>
      </c>
      <c r="J8" s="9">
        <f>VLOOKUP($C8,'Finished goods'!$A$5:$Q$27,8,FALSE)</f>
        <v>0.81990914999999998</v>
      </c>
      <c r="R8" s="23">
        <v>2</v>
      </c>
      <c r="S8" s="6">
        <f t="shared" si="1"/>
        <v>200</v>
      </c>
      <c r="T8" s="6">
        <f t="shared" si="2"/>
        <v>1.8220203333333331</v>
      </c>
      <c r="U8" s="4">
        <f t="shared" si="3"/>
        <v>1.6398183</v>
      </c>
      <c r="V8" s="16">
        <f>+S8*$M$3/'COST DATA'!$D$26</f>
        <v>1.6924236646373332</v>
      </c>
      <c r="W8" s="16">
        <f t="shared" si="4"/>
        <v>1.1132726438699999E-2</v>
      </c>
      <c r="X8" s="27">
        <f t="shared" si="5"/>
        <v>31.500000000000007</v>
      </c>
      <c r="Y8" s="4">
        <f t="shared" si="6"/>
        <v>11.776061776061777</v>
      </c>
      <c r="Z8" s="4">
        <f>+(S8/$S$3)*('Finished goods'!$Q$3*$S$1)</f>
        <v>0.53113267190476188</v>
      </c>
      <c r="AA8" s="4">
        <f>+'Finished goods'!$O$3*'Project Orto'!T8</f>
        <v>0.21121095246454188</v>
      </c>
      <c r="AB8" s="4"/>
      <c r="AC8" s="7">
        <f t="shared" si="7"/>
        <v>45.72196179150712</v>
      </c>
    </row>
    <row r="9" spans="1:29" x14ac:dyDescent="0.3">
      <c r="A9" s="243"/>
      <c r="B9" s="21" t="s">
        <v>123</v>
      </c>
      <c r="C9" s="4" t="str">
        <f>+'Finished goods'!A19</f>
        <v>Caraffa colonna twist1</v>
      </c>
      <c r="D9" s="5">
        <f>VLOOKUP($C9,'Finished goods'!$A$5:$Q$27,2,FALSE)</f>
        <v>2</v>
      </c>
      <c r="E9" s="5">
        <f>VLOOKUP($C9,'Finished goods'!$A$5:$Q$27,3,FALSE)</f>
        <v>1</v>
      </c>
      <c r="F9" s="5">
        <f>VLOOKUP($C9,'Finished goods'!$A$5:$Q$27,4,FALSE)</f>
        <v>1.41</v>
      </c>
      <c r="G9" s="5">
        <f>VLOOKUP($C9,'Finished goods'!$A$5:$Q$27,5,FALSE)</f>
        <v>101</v>
      </c>
      <c r="H9" s="8">
        <f>VLOOKUP($C9,'Finished goods'!$A$5:$Q$27,6,FALSE)</f>
        <v>3.323221E-4</v>
      </c>
      <c r="I9" s="9">
        <f>VLOOKUP($C9,'Finished goods'!$A$5:$Q$27,7,FALSE)</f>
        <v>0.92311694444444448</v>
      </c>
      <c r="J9" s="9">
        <f>VLOOKUP($C9,'Finished goods'!$A$5:$Q$27,8,FALSE)</f>
        <v>0.83080525000000005</v>
      </c>
      <c r="R9" s="23">
        <v>2</v>
      </c>
      <c r="S9" s="6">
        <f t="shared" si="1"/>
        <v>202</v>
      </c>
      <c r="T9" s="6">
        <f t="shared" si="2"/>
        <v>1.846233888888889</v>
      </c>
      <c r="U9" s="4">
        <f t="shared" si="3"/>
        <v>1.6616105000000001</v>
      </c>
      <c r="V9" s="16">
        <f>+S9*$M$3/'COST DATA'!$D$26</f>
        <v>1.7093479012837065</v>
      </c>
      <c r="W9" s="16">
        <f t="shared" si="4"/>
        <v>1.12806736845E-2</v>
      </c>
      <c r="X9" s="27">
        <f t="shared" si="5"/>
        <v>31.815000000000005</v>
      </c>
      <c r="Y9" s="4">
        <f t="shared" si="6"/>
        <v>11.893822393822393</v>
      </c>
      <c r="Z9" s="4">
        <f>+(S9/$S$3)*('Finished goods'!$Q$3*$S$1)</f>
        <v>0.53644399862380954</v>
      </c>
      <c r="AA9" s="4">
        <f>+'Finished goods'!$O$3*'Project Orto'!T9</f>
        <v>0.21401781912671894</v>
      </c>
      <c r="AB9" s="4"/>
      <c r="AC9" s="7">
        <f t="shared" si="7"/>
        <v>46.179912786541131</v>
      </c>
    </row>
    <row r="10" spans="1:29" x14ac:dyDescent="0.3">
      <c r="A10" s="243"/>
      <c r="B10" s="21" t="s">
        <v>123</v>
      </c>
      <c r="C10" s="4" t="str">
        <f>+'Finished goods'!A20</f>
        <v>Caraffa colonna twist2</v>
      </c>
      <c r="D10" s="5">
        <f>VLOOKUP($C10,'Finished goods'!$A$5:$Q$27,2,FALSE)</f>
        <v>2</v>
      </c>
      <c r="E10" s="5">
        <f>VLOOKUP($C10,'Finished goods'!$A$5:$Q$27,3,FALSE)</f>
        <v>1</v>
      </c>
      <c r="F10" s="5">
        <f>VLOOKUP($C10,'Finished goods'!$A$5:$Q$27,4,FALSE)</f>
        <v>1.45</v>
      </c>
      <c r="G10" s="5">
        <f>VLOOKUP($C10,'Finished goods'!$A$5:$Q$27,5,FALSE)</f>
        <v>105</v>
      </c>
      <c r="H10" s="8">
        <f>VLOOKUP($C10,'Finished goods'!$A$5:$Q$27,6,FALSE)</f>
        <v>3.4271101000000001E-4</v>
      </c>
      <c r="I10" s="9">
        <f>VLOOKUP($C10,'Finished goods'!$A$5:$Q$27,7,FALSE)</f>
        <v>0.95197502777777776</v>
      </c>
      <c r="J10" s="9">
        <f>VLOOKUP($C10,'Finished goods'!$A$5:$Q$27,8,FALSE)</f>
        <v>0.85677752500000004</v>
      </c>
      <c r="R10" s="23">
        <v>2</v>
      </c>
      <c r="S10" s="6">
        <f t="shared" si="1"/>
        <v>210</v>
      </c>
      <c r="T10" s="6">
        <f t="shared" si="2"/>
        <v>1.9039500555555555</v>
      </c>
      <c r="U10" s="4">
        <f t="shared" si="3"/>
        <v>1.7135550500000001</v>
      </c>
      <c r="V10" s="16">
        <f>+S10*$M$3/'COST DATA'!$D$26</f>
        <v>1.7770448478691998</v>
      </c>
      <c r="W10" s="16">
        <f t="shared" si="4"/>
        <v>1.1633325234450001E-2</v>
      </c>
      <c r="X10" s="27">
        <f t="shared" si="5"/>
        <v>33.075000000000003</v>
      </c>
      <c r="Y10" s="4">
        <f t="shared" si="6"/>
        <v>12.364864864864865</v>
      </c>
      <c r="Z10" s="4">
        <f>+(S10/$S$3)*('Finished goods'!$Q$3*$S$1)</f>
        <v>0.55768930550000007</v>
      </c>
      <c r="AA10" s="4">
        <f>+'Finished goods'!$O$3*'Project Orto'!T10</f>
        <v>0.22070835177953907</v>
      </c>
      <c r="AB10" s="4"/>
      <c r="AC10" s="7">
        <f t="shared" si="7"/>
        <v>48.006940695248055</v>
      </c>
    </row>
    <row r="11" spans="1:29" x14ac:dyDescent="0.3">
      <c r="A11" s="243"/>
      <c r="B11" s="21" t="s">
        <v>123</v>
      </c>
      <c r="C11" s="4" t="str">
        <f>+'Finished goods'!A21</f>
        <v>Caraffa colonna twist3</v>
      </c>
      <c r="D11" s="5">
        <f>VLOOKUP($C11,'Finished goods'!$A$5:$Q$27,2,FALSE)</f>
        <v>2</v>
      </c>
      <c r="E11" s="5">
        <f>VLOOKUP($C11,'Finished goods'!$A$5:$Q$27,3,FALSE)</f>
        <v>1</v>
      </c>
      <c r="F11" s="5">
        <f>VLOOKUP($C11,'Finished goods'!$A$5:$Q$27,4,FALSE)</f>
        <v>1.42</v>
      </c>
      <c r="G11" s="5">
        <f>VLOOKUP($C11,'Finished goods'!$A$5:$Q$27,5,FALSE)</f>
        <v>102</v>
      </c>
      <c r="H11" s="8">
        <f>VLOOKUP($C11,'Finished goods'!$A$5:$Q$27,6,FALSE)</f>
        <v>3.3727121999999998E-4</v>
      </c>
      <c r="I11" s="9">
        <f>VLOOKUP($C11,'Finished goods'!$A$5:$Q$27,7,FALSE)</f>
        <v>0.93686449999999988</v>
      </c>
      <c r="J11" s="9">
        <f>VLOOKUP($C11,'Finished goods'!$A$5:$Q$27,8,FALSE)</f>
        <v>0.8431780499999999</v>
      </c>
      <c r="R11" s="23">
        <v>2</v>
      </c>
      <c r="S11" s="6">
        <f t="shared" si="1"/>
        <v>204</v>
      </c>
      <c r="T11" s="6">
        <f t="shared" si="2"/>
        <v>1.8737289999999998</v>
      </c>
      <c r="U11" s="4">
        <f t="shared" si="3"/>
        <v>1.6863560999999998</v>
      </c>
      <c r="V11" s="16">
        <f>+S11*$M$3/'COST DATA'!$D$26</f>
        <v>1.7262721379300801</v>
      </c>
      <c r="W11" s="16">
        <f t="shared" si="4"/>
        <v>1.1448671562899998E-2</v>
      </c>
      <c r="X11" s="27">
        <f t="shared" si="5"/>
        <v>32.130000000000003</v>
      </c>
      <c r="Y11" s="4">
        <f t="shared" si="6"/>
        <v>12.011583011583012</v>
      </c>
      <c r="Z11" s="4">
        <f>+(S11/$S$3)*('Finished goods'!$Q$3*$S$1)</f>
        <v>0.5417553253428572</v>
      </c>
      <c r="AA11" s="4">
        <f>+'Finished goods'!$O$3*'Project Orto'!T11</f>
        <v>0.21720508795114082</v>
      </c>
      <c r="AB11" s="4"/>
      <c r="AC11" s="7">
        <f t="shared" si="7"/>
        <v>46.638264234369991</v>
      </c>
    </row>
    <row r="12" spans="1:29" x14ac:dyDescent="0.3">
      <c r="A12" s="243"/>
      <c r="B12" s="21" t="s">
        <v>123</v>
      </c>
      <c r="C12" s="4" t="str">
        <f>+'Finished goods'!A22</f>
        <v>Bicchiere colonna twist1</v>
      </c>
      <c r="D12" s="5">
        <f>VLOOKUP($C12,'Finished goods'!$A$5:$Q$27,2,FALSE)</f>
        <v>1</v>
      </c>
      <c r="E12" s="5">
        <f>VLOOKUP($C12,'Finished goods'!$A$5:$Q$27,3,FALSE)</f>
        <v>1</v>
      </c>
      <c r="F12" s="5">
        <f>VLOOKUP($C12,'Finished goods'!$A$5:$Q$27,4,FALSE)</f>
        <v>0.57999999999999996</v>
      </c>
      <c r="G12" s="5">
        <f>VLOOKUP($C12,'Finished goods'!$A$5:$Q$27,5,FALSE)</f>
        <v>58</v>
      </c>
      <c r="H12" s="8">
        <f>VLOOKUP($C12,'Finished goods'!$A$5:$Q$27,6,FALSE)</f>
        <v>9.7981700000000004E-5</v>
      </c>
      <c r="I12" s="9">
        <f>VLOOKUP($C12,'Finished goods'!$A$5:$Q$27,7,FALSE)</f>
        <v>0.27217138888888892</v>
      </c>
      <c r="J12" s="9">
        <f>VLOOKUP($C12,'Finished goods'!$A$5:$Q$27,8,FALSE)</f>
        <v>0.24495425000000001</v>
      </c>
      <c r="R12" s="23">
        <v>12</v>
      </c>
      <c r="S12" s="6">
        <f t="shared" si="1"/>
        <v>696</v>
      </c>
      <c r="T12" s="6">
        <f t="shared" si="2"/>
        <v>3.2660566666666671</v>
      </c>
      <c r="U12" s="4">
        <f t="shared" si="3"/>
        <v>2.939451</v>
      </c>
      <c r="V12" s="16">
        <f>+S12*$M$3/'COST DATA'!$D$26</f>
        <v>5.8896343529379198</v>
      </c>
      <c r="W12" s="16">
        <f t="shared" si="4"/>
        <v>1.9955932839000001E-2</v>
      </c>
      <c r="X12" s="27">
        <f t="shared" si="5"/>
        <v>109.62000000000002</v>
      </c>
      <c r="Y12" s="4">
        <f t="shared" si="6"/>
        <v>40.980694980694977</v>
      </c>
      <c r="Z12" s="4">
        <f>+(S12/$S$3)*('Finished goods'!$Q$3*$S$1)</f>
        <v>1.8483416982285714</v>
      </c>
      <c r="AA12" s="4">
        <f>+'Finished goods'!$O$3*'Project Orto'!T12</f>
        <v>0.37860551100865886</v>
      </c>
      <c r="AB12" s="4"/>
      <c r="AC12" s="7">
        <f t="shared" si="7"/>
        <v>158.73723247570913</v>
      </c>
    </row>
    <row r="13" spans="1:29" x14ac:dyDescent="0.3">
      <c r="A13" s="243"/>
      <c r="B13" s="21" t="s">
        <v>123</v>
      </c>
      <c r="C13" s="4" t="str">
        <f>+'Finished goods'!A23</f>
        <v>Bicchiere colonna twist2</v>
      </c>
      <c r="D13" s="5">
        <f>VLOOKUP($C13,'Finished goods'!$A$5:$Q$27,2,FALSE)</f>
        <v>1</v>
      </c>
      <c r="E13" s="5">
        <f>VLOOKUP($C13,'Finished goods'!$A$5:$Q$27,3,FALSE)</f>
        <v>1</v>
      </c>
      <c r="F13" s="5">
        <f>VLOOKUP($C13,'Finished goods'!$A$5:$Q$27,4,FALSE)</f>
        <v>0.59</v>
      </c>
      <c r="G13" s="5">
        <f>VLOOKUP($C13,'Finished goods'!$A$5:$Q$27,5,FALSE)</f>
        <v>59</v>
      </c>
      <c r="H13" s="8">
        <f>VLOOKUP($C13,'Finished goods'!$A$5:$Q$27,6,FALSE)</f>
        <v>9.7982366999999995E-5</v>
      </c>
      <c r="I13" s="9">
        <f>VLOOKUP($C13,'Finished goods'!$A$5:$Q$27,7,FALSE)</f>
        <v>0.27217324166666662</v>
      </c>
      <c r="J13" s="9">
        <f>VLOOKUP($C13,'Finished goods'!$A$5:$Q$27,8,FALSE)</f>
        <v>0.24495591749999998</v>
      </c>
      <c r="R13" s="23">
        <v>12</v>
      </c>
      <c r="S13" s="6">
        <f t="shared" si="1"/>
        <v>708</v>
      </c>
      <c r="T13" s="6">
        <f t="shared" si="2"/>
        <v>3.2660788999999992</v>
      </c>
      <c r="U13" s="4">
        <f t="shared" si="3"/>
        <v>2.9394710099999997</v>
      </c>
      <c r="V13" s="16">
        <f>+S13*$M$3/'COST DATA'!$D$26</f>
        <v>5.9911797728161593</v>
      </c>
      <c r="W13" s="16">
        <f t="shared" si="4"/>
        <v>1.9956068686889997E-2</v>
      </c>
      <c r="X13" s="27">
        <f t="shared" si="5"/>
        <v>111.51000000000002</v>
      </c>
      <c r="Y13" s="4">
        <f t="shared" si="6"/>
        <v>41.687258687258691</v>
      </c>
      <c r="Z13" s="4">
        <f>+(S13/$S$3)*('Finished goods'!$Q$3*$S$1)</f>
        <v>1.8802096585428572</v>
      </c>
      <c r="AA13" s="4">
        <f>+'Finished goods'!$O$3*'Project Orto'!T13</f>
        <v>0.37860808832540094</v>
      </c>
      <c r="AB13" s="4"/>
      <c r="AC13" s="7">
        <f t="shared" si="7"/>
        <v>161.46721227563</v>
      </c>
    </row>
    <row r="14" spans="1:29" x14ac:dyDescent="0.3">
      <c r="A14" s="243"/>
      <c r="B14" s="21" t="s">
        <v>123</v>
      </c>
      <c r="C14" s="4" t="str">
        <f>+'Finished goods'!A24</f>
        <v>Bicchiere colonna twist3</v>
      </c>
      <c r="D14" s="5">
        <f>VLOOKUP($C14,'Finished goods'!$A$5:$Q$27,2,FALSE)</f>
        <v>1</v>
      </c>
      <c r="E14" s="5">
        <f>VLOOKUP($C14,'Finished goods'!$A$5:$Q$27,3,FALSE)</f>
        <v>1</v>
      </c>
      <c r="F14" s="5">
        <f>VLOOKUP($C14,'Finished goods'!$A$5:$Q$27,4,FALSE)</f>
        <v>0.59</v>
      </c>
      <c r="G14" s="5">
        <f>VLOOKUP($C14,'Finished goods'!$A$5:$Q$27,5,FALSE)</f>
        <v>59</v>
      </c>
      <c r="H14" s="8">
        <f>VLOOKUP($C14,'Finished goods'!$A$5:$Q$27,6,FALSE)</f>
        <v>9.7984652999999995E-5</v>
      </c>
      <c r="I14" s="9">
        <f>VLOOKUP($C14,'Finished goods'!$A$5:$Q$27,7,FALSE)</f>
        <v>0.27217959166666666</v>
      </c>
      <c r="J14" s="9">
        <f>VLOOKUP($C14,'Finished goods'!$A$5:$Q$27,8,FALSE)</f>
        <v>0.2449616325</v>
      </c>
      <c r="R14" s="23">
        <v>12</v>
      </c>
      <c r="S14" s="6">
        <f t="shared" si="1"/>
        <v>708</v>
      </c>
      <c r="T14" s="6">
        <f t="shared" si="2"/>
        <v>3.2661550999999998</v>
      </c>
      <c r="U14" s="4">
        <f t="shared" si="3"/>
        <v>2.9395395899999999</v>
      </c>
      <c r="V14" s="16">
        <f>+S14*$M$3/'COST DATA'!$D$26</f>
        <v>5.9911797728161593</v>
      </c>
      <c r="W14" s="16">
        <f t="shared" si="4"/>
        <v>1.995653427651E-2</v>
      </c>
      <c r="X14" s="27">
        <f t="shared" si="5"/>
        <v>111.51000000000002</v>
      </c>
      <c r="Y14" s="4">
        <f t="shared" si="6"/>
        <v>41.687258687258691</v>
      </c>
      <c r="Z14" s="4">
        <f>+(S14/$S$3)*('Finished goods'!$Q$3*$S$1)</f>
        <v>1.8802096585428572</v>
      </c>
      <c r="AA14" s="4">
        <f>+'Finished goods'!$O$3*'Project Orto'!T14</f>
        <v>0.37861692152790888</v>
      </c>
      <c r="AB14" s="4"/>
      <c r="AC14" s="7">
        <f t="shared" si="7"/>
        <v>161.46722157442215</v>
      </c>
    </row>
    <row r="15" spans="1:29" x14ac:dyDescent="0.3">
      <c r="A15" s="244"/>
      <c r="B15" s="21" t="s">
        <v>123</v>
      </c>
      <c r="C15" s="4" t="str">
        <f>+'Finished goods'!A25</f>
        <v>Bicchiere colonna twist alto</v>
      </c>
      <c r="D15" s="5">
        <f>VLOOKUP($C15,'Finished goods'!$A$5:$Q$27,2,FALSE)</f>
        <v>1</v>
      </c>
      <c r="E15" s="5">
        <f>VLOOKUP($C15,'Finished goods'!$A$5:$Q$27,3,FALSE)</f>
        <v>1</v>
      </c>
      <c r="F15" s="5">
        <f>VLOOKUP($C15,'Finished goods'!$A$5:$Q$27,4,FALSE)</f>
        <v>0.57999999999999996</v>
      </c>
      <c r="G15" s="5">
        <f>VLOOKUP($C15,'Finished goods'!$A$5:$Q$27,5,FALSE)</f>
        <v>58</v>
      </c>
      <c r="H15" s="8">
        <f>VLOOKUP($C15,'Finished goods'!$A$5:$Q$27,6,FALSE)</f>
        <v>9.4065272999999995E-5</v>
      </c>
      <c r="I15" s="9">
        <f>VLOOKUP($C15,'Finished goods'!$A$5:$Q$27,7,FALSE)</f>
        <v>0.26129242499999999</v>
      </c>
      <c r="J15" s="9">
        <f>VLOOKUP($C15,'Finished goods'!$A$5:$Q$27,8,FALSE)</f>
        <v>0.23516318249999998</v>
      </c>
      <c r="R15" s="23">
        <v>12</v>
      </c>
      <c r="S15" s="6">
        <f t="shared" si="1"/>
        <v>696</v>
      </c>
      <c r="T15" s="6">
        <f t="shared" si="2"/>
        <v>3.1355091000000002</v>
      </c>
      <c r="U15" s="4">
        <f t="shared" si="3"/>
        <v>2.8219581899999997</v>
      </c>
      <c r="V15" s="16">
        <f>+S15*$M$3/'COST DATA'!$D$26</f>
        <v>5.8896343529379198</v>
      </c>
      <c r="W15" s="16">
        <f t="shared" si="4"/>
        <v>1.9158274151909998E-2</v>
      </c>
      <c r="X15" s="27">
        <f t="shared" si="5"/>
        <v>109.62000000000002</v>
      </c>
      <c r="Y15" s="4">
        <f t="shared" si="6"/>
        <v>40.980694980694977</v>
      </c>
      <c r="Z15" s="4">
        <f>+(S15/$S$3)*('Finished goods'!$Q$3*$S$1)</f>
        <v>1.8483416982285714</v>
      </c>
      <c r="AA15" s="4">
        <f>+'Finished goods'!$O$3*'Project Orto'!T15</f>
        <v>0.36347226831473628</v>
      </c>
      <c r="AB15" s="4"/>
      <c r="AC15" s="7">
        <f t="shared" si="7"/>
        <v>158.72130157432812</v>
      </c>
    </row>
    <row r="18" spans="1:29" ht="18" x14ac:dyDescent="0.35">
      <c r="D18" s="237" t="s">
        <v>40</v>
      </c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4" t="s">
        <v>32</v>
      </c>
      <c r="S18" s="47">
        <f>+S20/60/7</f>
        <v>10.357142857142858</v>
      </c>
      <c r="T18" t="s">
        <v>83</v>
      </c>
    </row>
    <row r="19" spans="1:29" x14ac:dyDescent="0.3">
      <c r="D19" s="236" t="s">
        <v>33</v>
      </c>
      <c r="E19" s="236"/>
      <c r="F19" s="236"/>
      <c r="G19" s="236"/>
      <c r="H19" s="236"/>
      <c r="I19" s="236"/>
      <c r="J19" s="236"/>
      <c r="M19" s="236" t="s">
        <v>36</v>
      </c>
      <c r="N19" s="236"/>
      <c r="O19" s="236"/>
      <c r="P19" s="236"/>
      <c r="Q19" s="236"/>
      <c r="V19" s="241" t="s">
        <v>41</v>
      </c>
      <c r="W19" s="241"/>
      <c r="X19" s="241"/>
      <c r="Y19" s="241"/>
      <c r="Z19" s="241"/>
      <c r="AA19" s="241"/>
      <c r="AB19" s="241"/>
      <c r="AC19" s="241"/>
    </row>
    <row r="20" spans="1:29" ht="18" x14ac:dyDescent="0.35">
      <c r="F20" s="225" t="s">
        <v>44</v>
      </c>
      <c r="G20" s="225"/>
      <c r="I20" s="20">
        <f>SUBTOTAL(9,I22:I32)</f>
        <v>6.7672086749999991</v>
      </c>
      <c r="J20" s="20">
        <f>SUBTOTAL(9,J22:J32)</f>
        <v>6.0904878074999997</v>
      </c>
      <c r="K20" s="1">
        <f>+'Finished goods'!$I$3</f>
        <v>2500</v>
      </c>
      <c r="L20" s="1">
        <f>+'Finished goods'!$J$3</f>
        <v>0.9</v>
      </c>
      <c r="M20" s="15">
        <f>+'Finished goods'!$K$3</f>
        <v>0.50772709939119998</v>
      </c>
      <c r="N20" s="15">
        <f>+'Finished goods'!$L$3</f>
        <v>6.7889999999999999E-3</v>
      </c>
      <c r="O20" s="13">
        <f>+'Finished goods'!$M$3</f>
        <v>0.15750000000000003</v>
      </c>
      <c r="P20" s="46">
        <f>+'Finished goods'!$N$3</f>
        <v>5.8880308880308881E-2</v>
      </c>
      <c r="Q20" s="1"/>
      <c r="S20" s="17">
        <f t="shared" ref="S20:AC20" si="8">SUBTOTAL(9,S22:S32)</f>
        <v>4350</v>
      </c>
      <c r="T20" s="17">
        <f t="shared" si="8"/>
        <v>33.717334016666669</v>
      </c>
      <c r="U20" s="17">
        <f t="shared" si="8"/>
        <v>30.345600615000002</v>
      </c>
      <c r="V20" s="18">
        <f t="shared" si="8"/>
        <v>36.810214705862002</v>
      </c>
      <c r="W20" s="18">
        <f t="shared" si="8"/>
        <v>0.20601628257523499</v>
      </c>
      <c r="X20" s="18">
        <f t="shared" si="8"/>
        <v>685.125</v>
      </c>
      <c r="Y20" s="18">
        <f t="shared" si="8"/>
        <v>256.12934362934362</v>
      </c>
      <c r="Z20" s="18">
        <f t="shared" si="8"/>
        <v>11.552135613928572</v>
      </c>
      <c r="AA20" s="18">
        <f t="shared" si="8"/>
        <v>3.9085569474390782</v>
      </c>
      <c r="AB20" s="18">
        <f t="shared" si="8"/>
        <v>0</v>
      </c>
      <c r="AC20" s="19">
        <f t="shared" si="8"/>
        <v>993.73126717914852</v>
      </c>
    </row>
    <row r="21" spans="1:29" x14ac:dyDescent="0.3">
      <c r="A21" s="1" t="s">
        <v>145</v>
      </c>
      <c r="B21" s="1" t="s">
        <v>30</v>
      </c>
      <c r="C21" s="1" t="s">
        <v>0</v>
      </c>
      <c r="D21" s="1" t="s">
        <v>4</v>
      </c>
      <c r="E21" s="1" t="s">
        <v>5</v>
      </c>
      <c r="F21" s="1" t="s">
        <v>45</v>
      </c>
      <c r="G21" s="1" t="s">
        <v>57</v>
      </c>
      <c r="H21" s="1" t="s">
        <v>6</v>
      </c>
      <c r="I21" s="1" t="s">
        <v>2</v>
      </c>
      <c r="J21" s="1" t="s">
        <v>7</v>
      </c>
      <c r="K21" s="1" t="s">
        <v>31</v>
      </c>
      <c r="L21" s="1" t="s">
        <v>8</v>
      </c>
      <c r="M21" s="1" t="s">
        <v>34</v>
      </c>
      <c r="N21" s="1" t="s">
        <v>35</v>
      </c>
      <c r="O21" s="1" t="s">
        <v>37</v>
      </c>
      <c r="P21" s="1" t="s">
        <v>79</v>
      </c>
      <c r="Q21" s="1" t="s">
        <v>38</v>
      </c>
      <c r="R21" s="1" t="s">
        <v>39</v>
      </c>
      <c r="S21" s="2" t="s">
        <v>43</v>
      </c>
      <c r="T21" s="2" t="s">
        <v>2</v>
      </c>
      <c r="U21" s="2" t="s">
        <v>7</v>
      </c>
      <c r="V21" s="2">
        <f>+'Finished goods'!K21</f>
        <v>0</v>
      </c>
      <c r="W21" s="2">
        <f>+'Finished goods'!L21</f>
        <v>0</v>
      </c>
      <c r="X21" s="2">
        <f>+'Finished goods'!M21</f>
        <v>0</v>
      </c>
      <c r="Y21" s="2">
        <f>+'Finished goods'!N21</f>
        <v>0</v>
      </c>
      <c r="Z21" s="2">
        <f>+'Finished goods'!Q21</f>
        <v>0</v>
      </c>
      <c r="AA21" s="3" t="s">
        <v>111</v>
      </c>
      <c r="AB21" s="3" t="s">
        <v>115</v>
      </c>
      <c r="AC21" s="3" t="s">
        <v>42</v>
      </c>
    </row>
    <row r="22" spans="1:29" ht="14.4" customHeight="1" x14ac:dyDescent="0.3">
      <c r="A22" s="242" t="s">
        <v>412</v>
      </c>
      <c r="B22" s="21" t="s">
        <v>123</v>
      </c>
      <c r="C22" s="4" t="str">
        <f>+C5</f>
        <v>Bicchiere curve dritto</v>
      </c>
      <c r="D22" s="5">
        <f>VLOOKUP($C22,'Finished goods'!$A$5:$Q$27,2,FALSE)</f>
        <v>2</v>
      </c>
      <c r="E22" s="5">
        <f>VLOOKUP($C22,'Finished goods'!$A$5:$Q$27,3,FALSE)</f>
        <v>2</v>
      </c>
      <c r="F22" s="5">
        <f>VLOOKUP($C22,'Finished goods'!$A$5:$Q$27,4,FALSE)</f>
        <v>0.26</v>
      </c>
      <c r="G22" s="5">
        <f>VLOOKUP($C22,'Finished goods'!$A$5:$Q$27,5,FALSE)</f>
        <v>26</v>
      </c>
      <c r="H22" s="8">
        <f>VLOOKUP($C22,'Finished goods'!$A$5:$Q$27,6,FALSE)</f>
        <v>1.6928511099999999E-4</v>
      </c>
      <c r="I22" s="9">
        <f>VLOOKUP($C22,'Finished goods'!$A$5:$Q$27,7,FALSE)</f>
        <v>0.47023641944444439</v>
      </c>
      <c r="J22" s="9">
        <f>VLOOKUP($C22,'Finished goods'!$A$5:$Q$27,8,FALSE)</f>
        <v>0.42321277749999997</v>
      </c>
      <c r="R22" s="23">
        <v>12</v>
      </c>
      <c r="S22" s="6">
        <f t="shared" ref="S22:S32" si="9">+G22*$R22</f>
        <v>312</v>
      </c>
      <c r="T22" s="6">
        <f t="shared" ref="T22:T32" si="10">+I22*$R22</f>
        <v>5.6428370333333326</v>
      </c>
      <c r="U22" s="4">
        <f t="shared" ref="U22:U32" si="11">+J22*$R22</f>
        <v>5.0785533300000001</v>
      </c>
      <c r="V22" s="16">
        <f>+S22*$M$3/'COST DATA'!$D$26</f>
        <v>2.6401809168342401</v>
      </c>
      <c r="W22" s="16">
        <f>+U22*$N$3</f>
        <v>3.4478298557370002E-2</v>
      </c>
      <c r="X22" s="27">
        <f>+S22*$O$3</f>
        <v>49.140000000000008</v>
      </c>
      <c r="Y22" s="4">
        <f>+S22*$P$3</f>
        <v>18.37065637065637</v>
      </c>
      <c r="Z22" s="4">
        <f>+(S22/$S$3)*('Finished goods'!$Q$3*$S$1)</f>
        <v>0.82856696817142861</v>
      </c>
      <c r="AA22" s="4">
        <f>+'Finished goods'!$O$3*'Project Orto'!T22</f>
        <v>0.65412496370559525</v>
      </c>
      <c r="AB22" s="4"/>
      <c r="AC22" s="7">
        <f>+V22+W22+X22+Y22+Z22+AA22+AB22</f>
        <v>71.668007517925005</v>
      </c>
    </row>
    <row r="23" spans="1:29" x14ac:dyDescent="0.3">
      <c r="A23" s="243"/>
      <c r="B23" s="21" t="s">
        <v>123</v>
      </c>
      <c r="C23" s="4" t="str">
        <f t="shared" ref="C23:C32" si="12">+C6</f>
        <v>Bicchiere curve twist</v>
      </c>
      <c r="D23" s="5">
        <f>VLOOKUP($C23,'Finished goods'!$A$5:$Q$27,2,FALSE)</f>
        <v>2</v>
      </c>
      <c r="E23" s="5">
        <f>VLOOKUP($C23,'Finished goods'!$A$5:$Q$27,3,FALSE)</f>
        <v>2</v>
      </c>
      <c r="F23" s="5">
        <f>VLOOKUP($C23,'Finished goods'!$A$5:$Q$27,4,FALSE)</f>
        <v>0.25</v>
      </c>
      <c r="G23" s="5">
        <f>VLOOKUP($C23,'Finished goods'!$A$5:$Q$27,5,FALSE)</f>
        <v>25</v>
      </c>
      <c r="H23" s="8">
        <f>VLOOKUP($C23,'Finished goods'!$A$5:$Q$27,6,FALSE)</f>
        <v>1.69285896E-4</v>
      </c>
      <c r="I23" s="9">
        <f>VLOOKUP($C23,'Finished goods'!$A$5:$Q$27,7,FALSE)</f>
        <v>0.47023859999999995</v>
      </c>
      <c r="J23" s="9">
        <f>VLOOKUP($C23,'Finished goods'!$A$5:$Q$27,8,FALSE)</f>
        <v>0.42321473999999998</v>
      </c>
      <c r="R23" s="23">
        <v>12</v>
      </c>
      <c r="S23" s="6">
        <f t="shared" si="9"/>
        <v>300</v>
      </c>
      <c r="T23" s="6">
        <f t="shared" si="10"/>
        <v>5.642863199999999</v>
      </c>
      <c r="U23" s="4">
        <f t="shared" si="11"/>
        <v>5.07857688</v>
      </c>
      <c r="V23" s="16">
        <f>+S23*$M$3/'COST DATA'!$D$26</f>
        <v>2.5386354969559997</v>
      </c>
      <c r="W23" s="16">
        <f t="shared" ref="W23:W32" si="13">+U23*$N$3</f>
        <v>3.4478458438320002E-2</v>
      </c>
      <c r="X23" s="27">
        <f t="shared" ref="X23:X32" si="14">+S23*$O$3</f>
        <v>47.250000000000007</v>
      </c>
      <c r="Y23" s="4">
        <f t="shared" ref="Y23:Y32" si="15">+S23*$P$3</f>
        <v>17.664092664092664</v>
      </c>
      <c r="Z23" s="4">
        <f>+(S23/$S$3)*('Finished goods'!$Q$3*$S$1)</f>
        <v>0.79669900785714287</v>
      </c>
      <c r="AA23" s="4">
        <f>+'Finished goods'!$O$3*'Project Orto'!T23</f>
        <v>0.65412799697942225</v>
      </c>
      <c r="AB23" s="4"/>
      <c r="AC23" s="7">
        <f t="shared" ref="AC23:AC32" si="16">+V23+W23+X23+Y23+Z23+AA23+AB23</f>
        <v>68.938033624323552</v>
      </c>
    </row>
    <row r="24" spans="1:29" x14ac:dyDescent="0.3">
      <c r="A24" s="243"/>
      <c r="B24" s="21" t="s">
        <v>123</v>
      </c>
      <c r="C24" s="4" t="str">
        <f t="shared" si="12"/>
        <v>Caraffa curva</v>
      </c>
      <c r="D24" s="5">
        <f>VLOOKUP($C24,'Finished goods'!$A$5:$Q$27,2,FALSE)</f>
        <v>2</v>
      </c>
      <c r="E24" s="5">
        <f>VLOOKUP($C24,'Finished goods'!$A$5:$Q$27,3,FALSE)</f>
        <v>2</v>
      </c>
      <c r="F24" s="5">
        <f>VLOOKUP($C24,'Finished goods'!$A$5:$Q$27,4,FALSE)</f>
        <v>0.56999999999999995</v>
      </c>
      <c r="G24" s="5">
        <f>VLOOKUP($C24,'Finished goods'!$A$5:$Q$27,5,FALSE)</f>
        <v>57</v>
      </c>
      <c r="H24" s="8">
        <f>VLOOKUP($C24,'Finished goods'!$A$5:$Q$27,6,FALSE)</f>
        <v>3.69342133E-4</v>
      </c>
      <c r="I24" s="9">
        <f>VLOOKUP($C24,'Finished goods'!$A$5:$Q$27,7,FALSE)</f>
        <v>1.0259503694444445</v>
      </c>
      <c r="J24" s="9">
        <f>VLOOKUP($C24,'Finished goods'!$A$5:$Q$27,8,FALSE)</f>
        <v>0.92335533250000001</v>
      </c>
      <c r="R24" s="23">
        <v>2</v>
      </c>
      <c r="S24" s="6">
        <f t="shared" si="9"/>
        <v>114</v>
      </c>
      <c r="T24" s="6">
        <f t="shared" si="10"/>
        <v>2.051900738888889</v>
      </c>
      <c r="U24" s="4">
        <f t="shared" si="11"/>
        <v>1.846710665</v>
      </c>
      <c r="V24" s="16">
        <f>+S24*$M$3/'COST DATA'!$D$26</f>
        <v>0.96468148884327987</v>
      </c>
      <c r="W24" s="16">
        <f t="shared" si="13"/>
        <v>1.2537318704685E-2</v>
      </c>
      <c r="X24" s="27">
        <f t="shared" si="14"/>
        <v>17.955000000000002</v>
      </c>
      <c r="Y24" s="4">
        <f t="shared" si="15"/>
        <v>6.7123552123552122</v>
      </c>
      <c r="Z24" s="4">
        <f>+(S24/$S$3)*('Finished goods'!$Q$3*$S$1)</f>
        <v>0.30274562298571428</v>
      </c>
      <c r="AA24" s="4">
        <f>+'Finished goods'!$O$3*'Project Orto'!T24</f>
        <v>0.23785898625541477</v>
      </c>
      <c r="AB24" s="4"/>
      <c r="AC24" s="7">
        <f t="shared" si="16"/>
        <v>26.185178629144307</v>
      </c>
    </row>
    <row r="25" spans="1:29" x14ac:dyDescent="0.3">
      <c r="A25" s="243"/>
      <c r="B25" s="21" t="s">
        <v>123</v>
      </c>
      <c r="C25" s="4" t="str">
        <f t="shared" si="12"/>
        <v>Caraffa colonna dritta</v>
      </c>
      <c r="D25" s="5">
        <f>VLOOKUP($C25,'Finished goods'!$A$5:$Q$27,2,FALSE)</f>
        <v>2</v>
      </c>
      <c r="E25" s="5">
        <f>VLOOKUP($C25,'Finished goods'!$A$5:$Q$27,3,FALSE)</f>
        <v>1</v>
      </c>
      <c r="F25" s="5">
        <f>VLOOKUP($C25,'Finished goods'!$A$5:$Q$27,4,FALSE)</f>
        <v>1.4</v>
      </c>
      <c r="G25" s="5">
        <f>VLOOKUP($C25,'Finished goods'!$A$5:$Q$27,5,FALSE)</f>
        <v>100</v>
      </c>
      <c r="H25" s="8">
        <f>VLOOKUP($C25,'Finished goods'!$A$5:$Q$27,6,FALSE)</f>
        <v>3.2796365999999998E-4</v>
      </c>
      <c r="I25" s="9">
        <f>VLOOKUP($C25,'Finished goods'!$A$5:$Q$27,7,FALSE)</f>
        <v>0.91101016666666657</v>
      </c>
      <c r="J25" s="9">
        <f>VLOOKUP($C25,'Finished goods'!$A$5:$Q$27,8,FALSE)</f>
        <v>0.81990914999999998</v>
      </c>
      <c r="R25" s="23">
        <v>2</v>
      </c>
      <c r="S25" s="6">
        <f t="shared" si="9"/>
        <v>200</v>
      </c>
      <c r="T25" s="6">
        <f t="shared" si="10"/>
        <v>1.8220203333333331</v>
      </c>
      <c r="U25" s="4">
        <f t="shared" si="11"/>
        <v>1.6398183</v>
      </c>
      <c r="V25" s="16">
        <f>+S25*$M$3/'COST DATA'!$D$26</f>
        <v>1.6924236646373332</v>
      </c>
      <c r="W25" s="16">
        <f t="shared" si="13"/>
        <v>1.1132726438699999E-2</v>
      </c>
      <c r="X25" s="27">
        <f t="shared" si="14"/>
        <v>31.500000000000007</v>
      </c>
      <c r="Y25" s="4">
        <f t="shared" si="15"/>
        <v>11.776061776061777</v>
      </c>
      <c r="Z25" s="4">
        <f>+(S25/$S$3)*('Finished goods'!$Q$3*$S$1)</f>
        <v>0.53113267190476188</v>
      </c>
      <c r="AA25" s="4">
        <f>+'Finished goods'!$O$3*'Project Orto'!T25</f>
        <v>0.21121095246454188</v>
      </c>
      <c r="AB25" s="4"/>
      <c r="AC25" s="7">
        <f t="shared" si="16"/>
        <v>45.72196179150712</v>
      </c>
    </row>
    <row r="26" spans="1:29" x14ac:dyDescent="0.3">
      <c r="A26" s="243"/>
      <c r="B26" s="21" t="s">
        <v>123</v>
      </c>
      <c r="C26" s="4" t="str">
        <f t="shared" si="12"/>
        <v>Caraffa colonna twist1</v>
      </c>
      <c r="D26" s="5">
        <f>VLOOKUP($C26,'Finished goods'!$A$5:$Q$27,2,FALSE)</f>
        <v>2</v>
      </c>
      <c r="E26" s="5">
        <f>VLOOKUP($C26,'Finished goods'!$A$5:$Q$27,3,FALSE)</f>
        <v>1</v>
      </c>
      <c r="F26" s="5">
        <f>VLOOKUP($C26,'Finished goods'!$A$5:$Q$27,4,FALSE)</f>
        <v>1.41</v>
      </c>
      <c r="G26" s="5">
        <f>VLOOKUP($C26,'Finished goods'!$A$5:$Q$27,5,FALSE)</f>
        <v>101</v>
      </c>
      <c r="H26" s="8">
        <f>VLOOKUP($C26,'Finished goods'!$A$5:$Q$27,6,FALSE)</f>
        <v>3.323221E-4</v>
      </c>
      <c r="I26" s="9">
        <f>VLOOKUP($C26,'Finished goods'!$A$5:$Q$27,7,FALSE)</f>
        <v>0.92311694444444448</v>
      </c>
      <c r="J26" s="9">
        <f>VLOOKUP($C26,'Finished goods'!$A$5:$Q$27,8,FALSE)</f>
        <v>0.83080525000000005</v>
      </c>
      <c r="R26" s="23">
        <v>2</v>
      </c>
      <c r="S26" s="6">
        <f t="shared" si="9"/>
        <v>202</v>
      </c>
      <c r="T26" s="6">
        <f t="shared" si="10"/>
        <v>1.846233888888889</v>
      </c>
      <c r="U26" s="4">
        <f t="shared" si="11"/>
        <v>1.6616105000000001</v>
      </c>
      <c r="V26" s="16">
        <f>+S26*$M$3/'COST DATA'!$D$26</f>
        <v>1.7093479012837065</v>
      </c>
      <c r="W26" s="16">
        <f t="shared" si="13"/>
        <v>1.12806736845E-2</v>
      </c>
      <c r="X26" s="27">
        <f t="shared" si="14"/>
        <v>31.815000000000005</v>
      </c>
      <c r="Y26" s="4">
        <f t="shared" si="15"/>
        <v>11.893822393822393</v>
      </c>
      <c r="Z26" s="4">
        <f>+(S26/$S$3)*('Finished goods'!$Q$3*$S$1)</f>
        <v>0.53644399862380954</v>
      </c>
      <c r="AA26" s="4">
        <f>+'Finished goods'!$O$3*'Project Orto'!T26</f>
        <v>0.21401781912671894</v>
      </c>
      <c r="AB26" s="4"/>
      <c r="AC26" s="7">
        <f t="shared" si="16"/>
        <v>46.179912786541131</v>
      </c>
    </row>
    <row r="27" spans="1:29" x14ac:dyDescent="0.3">
      <c r="A27" s="243"/>
      <c r="B27" s="21" t="s">
        <v>123</v>
      </c>
      <c r="C27" s="4" t="str">
        <f t="shared" si="12"/>
        <v>Caraffa colonna twist2</v>
      </c>
      <c r="D27" s="5">
        <f>VLOOKUP($C27,'Finished goods'!$A$5:$Q$27,2,FALSE)</f>
        <v>2</v>
      </c>
      <c r="E27" s="5">
        <f>VLOOKUP($C27,'Finished goods'!$A$5:$Q$27,3,FALSE)</f>
        <v>1</v>
      </c>
      <c r="F27" s="5">
        <f>VLOOKUP($C27,'Finished goods'!$A$5:$Q$27,4,FALSE)</f>
        <v>1.45</v>
      </c>
      <c r="G27" s="5">
        <f>VLOOKUP($C27,'Finished goods'!$A$5:$Q$27,5,FALSE)</f>
        <v>105</v>
      </c>
      <c r="H27" s="8">
        <f>VLOOKUP($C27,'Finished goods'!$A$5:$Q$27,6,FALSE)</f>
        <v>3.4271101000000001E-4</v>
      </c>
      <c r="I27" s="9">
        <f>VLOOKUP($C27,'Finished goods'!$A$5:$Q$27,7,FALSE)</f>
        <v>0.95197502777777776</v>
      </c>
      <c r="J27" s="9">
        <f>VLOOKUP($C27,'Finished goods'!$A$5:$Q$27,8,FALSE)</f>
        <v>0.85677752500000004</v>
      </c>
      <c r="R27" s="23">
        <v>2</v>
      </c>
      <c r="S27" s="6">
        <f t="shared" si="9"/>
        <v>210</v>
      </c>
      <c r="T27" s="6">
        <f t="shared" si="10"/>
        <v>1.9039500555555555</v>
      </c>
      <c r="U27" s="4">
        <f t="shared" si="11"/>
        <v>1.7135550500000001</v>
      </c>
      <c r="V27" s="16">
        <f>+S27*$M$3/'COST DATA'!$D$26</f>
        <v>1.7770448478691998</v>
      </c>
      <c r="W27" s="16">
        <f t="shared" si="13"/>
        <v>1.1633325234450001E-2</v>
      </c>
      <c r="X27" s="27">
        <f t="shared" si="14"/>
        <v>33.075000000000003</v>
      </c>
      <c r="Y27" s="4">
        <f t="shared" si="15"/>
        <v>12.364864864864865</v>
      </c>
      <c r="Z27" s="4">
        <f>+(S27/$S$3)*('Finished goods'!$Q$3*$S$1)</f>
        <v>0.55768930550000007</v>
      </c>
      <c r="AA27" s="4">
        <f>+'Finished goods'!$O$3*'Project Orto'!T27</f>
        <v>0.22070835177953907</v>
      </c>
      <c r="AB27" s="4"/>
      <c r="AC27" s="7">
        <f t="shared" si="16"/>
        <v>48.006940695248055</v>
      </c>
    </row>
    <row r="28" spans="1:29" x14ac:dyDescent="0.3">
      <c r="A28" s="243"/>
      <c r="B28" s="21" t="s">
        <v>123</v>
      </c>
      <c r="C28" s="4" t="str">
        <f t="shared" si="12"/>
        <v>Caraffa colonna twist3</v>
      </c>
      <c r="D28" s="5">
        <f>VLOOKUP($C28,'Finished goods'!$A$5:$Q$27,2,FALSE)</f>
        <v>2</v>
      </c>
      <c r="E28" s="5">
        <f>VLOOKUP($C28,'Finished goods'!$A$5:$Q$27,3,FALSE)</f>
        <v>1</v>
      </c>
      <c r="F28" s="5">
        <f>VLOOKUP($C28,'Finished goods'!$A$5:$Q$27,4,FALSE)</f>
        <v>1.42</v>
      </c>
      <c r="G28" s="5">
        <f>VLOOKUP($C28,'Finished goods'!$A$5:$Q$27,5,FALSE)</f>
        <v>102</v>
      </c>
      <c r="H28" s="8">
        <f>VLOOKUP($C28,'Finished goods'!$A$5:$Q$27,6,FALSE)</f>
        <v>3.3727121999999998E-4</v>
      </c>
      <c r="I28" s="9">
        <f>VLOOKUP($C28,'Finished goods'!$A$5:$Q$27,7,FALSE)</f>
        <v>0.93686449999999988</v>
      </c>
      <c r="J28" s="9">
        <f>VLOOKUP($C28,'Finished goods'!$A$5:$Q$27,8,FALSE)</f>
        <v>0.8431780499999999</v>
      </c>
      <c r="R28" s="23">
        <v>2</v>
      </c>
      <c r="S28" s="6">
        <f t="shared" si="9"/>
        <v>204</v>
      </c>
      <c r="T28" s="6">
        <f t="shared" si="10"/>
        <v>1.8737289999999998</v>
      </c>
      <c r="U28" s="4">
        <f t="shared" si="11"/>
        <v>1.6863560999999998</v>
      </c>
      <c r="V28" s="16">
        <f>+S28*$M$3/'COST DATA'!$D$26</f>
        <v>1.7262721379300801</v>
      </c>
      <c r="W28" s="16">
        <f t="shared" si="13"/>
        <v>1.1448671562899998E-2</v>
      </c>
      <c r="X28" s="27">
        <f t="shared" si="14"/>
        <v>32.130000000000003</v>
      </c>
      <c r="Y28" s="4">
        <f t="shared" si="15"/>
        <v>12.011583011583012</v>
      </c>
      <c r="Z28" s="4">
        <f>+(S28/$S$3)*('Finished goods'!$Q$3*$S$1)</f>
        <v>0.5417553253428572</v>
      </c>
      <c r="AA28" s="4">
        <f>+'Finished goods'!$O$3*'Project Orto'!T28</f>
        <v>0.21720508795114082</v>
      </c>
      <c r="AB28" s="4"/>
      <c r="AC28" s="7">
        <f t="shared" si="16"/>
        <v>46.638264234369991</v>
      </c>
    </row>
    <row r="29" spans="1:29" x14ac:dyDescent="0.3">
      <c r="A29" s="243"/>
      <c r="B29" s="21" t="s">
        <v>123</v>
      </c>
      <c r="C29" s="4" t="str">
        <f t="shared" si="12"/>
        <v>Bicchiere colonna twist1</v>
      </c>
      <c r="D29" s="5">
        <f>VLOOKUP($C29,'Finished goods'!$A$5:$Q$27,2,FALSE)</f>
        <v>1</v>
      </c>
      <c r="E29" s="5">
        <f>VLOOKUP($C29,'Finished goods'!$A$5:$Q$27,3,FALSE)</f>
        <v>1</v>
      </c>
      <c r="F29" s="5">
        <f>VLOOKUP($C29,'Finished goods'!$A$5:$Q$27,4,FALSE)</f>
        <v>0.57999999999999996</v>
      </c>
      <c r="G29" s="5">
        <f>VLOOKUP($C29,'Finished goods'!$A$5:$Q$27,5,FALSE)</f>
        <v>58</v>
      </c>
      <c r="H29" s="8">
        <f>VLOOKUP($C29,'Finished goods'!$A$5:$Q$27,6,FALSE)</f>
        <v>9.7981700000000004E-5</v>
      </c>
      <c r="I29" s="9">
        <f>VLOOKUP($C29,'Finished goods'!$A$5:$Q$27,7,FALSE)</f>
        <v>0.27217138888888892</v>
      </c>
      <c r="J29" s="9">
        <f>VLOOKUP($C29,'Finished goods'!$A$5:$Q$27,8,FALSE)</f>
        <v>0.24495425000000001</v>
      </c>
      <c r="R29" s="23">
        <v>12</v>
      </c>
      <c r="S29" s="6">
        <f t="shared" si="9"/>
        <v>696</v>
      </c>
      <c r="T29" s="6">
        <f t="shared" si="10"/>
        <v>3.2660566666666671</v>
      </c>
      <c r="U29" s="4">
        <f t="shared" si="11"/>
        <v>2.939451</v>
      </c>
      <c r="V29" s="16">
        <f>+S29*$M$3/'COST DATA'!$D$26</f>
        <v>5.8896343529379198</v>
      </c>
      <c r="W29" s="16">
        <f t="shared" si="13"/>
        <v>1.9955932839000001E-2</v>
      </c>
      <c r="X29" s="27">
        <f t="shared" si="14"/>
        <v>109.62000000000002</v>
      </c>
      <c r="Y29" s="4">
        <f t="shared" si="15"/>
        <v>40.980694980694977</v>
      </c>
      <c r="Z29" s="4">
        <f>+(S29/$S$3)*('Finished goods'!$Q$3*$S$1)</f>
        <v>1.8483416982285714</v>
      </c>
      <c r="AA29" s="4">
        <f>+'Finished goods'!$O$3*'Project Orto'!T29</f>
        <v>0.37860551100865886</v>
      </c>
      <c r="AB29" s="4"/>
      <c r="AC29" s="7">
        <f t="shared" si="16"/>
        <v>158.73723247570913</v>
      </c>
    </row>
    <row r="30" spans="1:29" x14ac:dyDescent="0.3">
      <c r="A30" s="243"/>
      <c r="B30" s="21" t="s">
        <v>123</v>
      </c>
      <c r="C30" s="4" t="str">
        <f t="shared" si="12"/>
        <v>Bicchiere colonna twist2</v>
      </c>
      <c r="D30" s="5">
        <f>VLOOKUP($C30,'Finished goods'!$A$5:$Q$27,2,FALSE)</f>
        <v>1</v>
      </c>
      <c r="E30" s="5">
        <f>VLOOKUP($C30,'Finished goods'!$A$5:$Q$27,3,FALSE)</f>
        <v>1</v>
      </c>
      <c r="F30" s="5">
        <f>VLOOKUP($C30,'Finished goods'!$A$5:$Q$27,4,FALSE)</f>
        <v>0.59</v>
      </c>
      <c r="G30" s="5">
        <f>VLOOKUP($C30,'Finished goods'!$A$5:$Q$27,5,FALSE)</f>
        <v>59</v>
      </c>
      <c r="H30" s="8">
        <f>VLOOKUP($C30,'Finished goods'!$A$5:$Q$27,6,FALSE)</f>
        <v>9.7982366999999995E-5</v>
      </c>
      <c r="I30" s="9">
        <f>VLOOKUP($C30,'Finished goods'!$A$5:$Q$27,7,FALSE)</f>
        <v>0.27217324166666662</v>
      </c>
      <c r="J30" s="9">
        <f>VLOOKUP($C30,'Finished goods'!$A$5:$Q$27,8,FALSE)</f>
        <v>0.24495591749999998</v>
      </c>
      <c r="R30" s="23">
        <v>12</v>
      </c>
      <c r="S30" s="6">
        <f t="shared" si="9"/>
        <v>708</v>
      </c>
      <c r="T30" s="6">
        <f t="shared" si="10"/>
        <v>3.2660788999999992</v>
      </c>
      <c r="U30" s="4">
        <f t="shared" si="11"/>
        <v>2.9394710099999997</v>
      </c>
      <c r="V30" s="16">
        <f>+S30*$M$3/'COST DATA'!$D$26</f>
        <v>5.9911797728161593</v>
      </c>
      <c r="W30" s="16">
        <f t="shared" si="13"/>
        <v>1.9956068686889997E-2</v>
      </c>
      <c r="X30" s="27">
        <f t="shared" si="14"/>
        <v>111.51000000000002</v>
      </c>
      <c r="Y30" s="4">
        <f t="shared" si="15"/>
        <v>41.687258687258691</v>
      </c>
      <c r="Z30" s="4">
        <f>+(S30/$S$3)*('Finished goods'!$Q$3*$S$1)</f>
        <v>1.8802096585428572</v>
      </c>
      <c r="AA30" s="4">
        <f>+'Finished goods'!$O$3*'Project Orto'!T30</f>
        <v>0.37860808832540094</v>
      </c>
      <c r="AB30" s="4"/>
      <c r="AC30" s="7">
        <f t="shared" si="16"/>
        <v>161.46721227563</v>
      </c>
    </row>
    <row r="31" spans="1:29" x14ac:dyDescent="0.3">
      <c r="A31" s="243"/>
      <c r="B31" s="21" t="s">
        <v>123</v>
      </c>
      <c r="C31" s="4" t="str">
        <f t="shared" si="12"/>
        <v>Bicchiere colonna twist3</v>
      </c>
      <c r="D31" s="5">
        <f>VLOOKUP($C31,'Finished goods'!$A$5:$Q$27,2,FALSE)</f>
        <v>1</v>
      </c>
      <c r="E31" s="5">
        <f>VLOOKUP($C31,'Finished goods'!$A$5:$Q$27,3,FALSE)</f>
        <v>1</v>
      </c>
      <c r="F31" s="5">
        <f>VLOOKUP($C31,'Finished goods'!$A$5:$Q$27,4,FALSE)</f>
        <v>0.59</v>
      </c>
      <c r="G31" s="5">
        <f>VLOOKUP($C31,'Finished goods'!$A$5:$Q$27,5,FALSE)</f>
        <v>59</v>
      </c>
      <c r="H31" s="8">
        <f>VLOOKUP($C31,'Finished goods'!$A$5:$Q$27,6,FALSE)</f>
        <v>9.7984652999999995E-5</v>
      </c>
      <c r="I31" s="9">
        <f>VLOOKUP($C31,'Finished goods'!$A$5:$Q$27,7,FALSE)</f>
        <v>0.27217959166666666</v>
      </c>
      <c r="J31" s="9">
        <f>VLOOKUP($C31,'Finished goods'!$A$5:$Q$27,8,FALSE)</f>
        <v>0.2449616325</v>
      </c>
      <c r="R31" s="23">
        <v>12</v>
      </c>
      <c r="S31" s="6">
        <f t="shared" si="9"/>
        <v>708</v>
      </c>
      <c r="T31" s="6">
        <f t="shared" si="10"/>
        <v>3.2661550999999998</v>
      </c>
      <c r="U31" s="4">
        <f t="shared" si="11"/>
        <v>2.9395395899999999</v>
      </c>
      <c r="V31" s="16">
        <f>+S31*$M$3/'COST DATA'!$D$26</f>
        <v>5.9911797728161593</v>
      </c>
      <c r="W31" s="16">
        <f t="shared" si="13"/>
        <v>1.995653427651E-2</v>
      </c>
      <c r="X31" s="27">
        <f t="shared" si="14"/>
        <v>111.51000000000002</v>
      </c>
      <c r="Y31" s="4">
        <f t="shared" si="15"/>
        <v>41.687258687258691</v>
      </c>
      <c r="Z31" s="4">
        <f>+(S31/$S$3)*('Finished goods'!$Q$3*$S$1)</f>
        <v>1.8802096585428572</v>
      </c>
      <c r="AA31" s="4">
        <f>+'Finished goods'!$O$3*'Project Orto'!T31</f>
        <v>0.37861692152790888</v>
      </c>
      <c r="AB31" s="4"/>
      <c r="AC31" s="7">
        <f t="shared" si="16"/>
        <v>161.46722157442215</v>
      </c>
    </row>
    <row r="32" spans="1:29" x14ac:dyDescent="0.3">
      <c r="A32" s="244"/>
      <c r="B32" s="21" t="s">
        <v>123</v>
      </c>
      <c r="C32" s="4" t="str">
        <f t="shared" si="12"/>
        <v>Bicchiere colonna twist alto</v>
      </c>
      <c r="D32" s="5">
        <f>VLOOKUP($C32,'Finished goods'!$A$5:$Q$27,2,FALSE)</f>
        <v>1</v>
      </c>
      <c r="E32" s="5">
        <f>VLOOKUP($C32,'Finished goods'!$A$5:$Q$27,3,FALSE)</f>
        <v>1</v>
      </c>
      <c r="F32" s="5">
        <f>VLOOKUP($C32,'Finished goods'!$A$5:$Q$27,4,FALSE)</f>
        <v>0.57999999999999996</v>
      </c>
      <c r="G32" s="5">
        <f>VLOOKUP($C32,'Finished goods'!$A$5:$Q$27,5,FALSE)</f>
        <v>58</v>
      </c>
      <c r="H32" s="8">
        <f>VLOOKUP($C32,'Finished goods'!$A$5:$Q$27,6,FALSE)</f>
        <v>9.4065272999999995E-5</v>
      </c>
      <c r="I32" s="9">
        <f>VLOOKUP($C32,'Finished goods'!$A$5:$Q$27,7,FALSE)</f>
        <v>0.26129242499999999</v>
      </c>
      <c r="J32" s="9">
        <f>VLOOKUP($C32,'Finished goods'!$A$5:$Q$27,8,FALSE)</f>
        <v>0.23516318249999998</v>
      </c>
      <c r="R32" s="23">
        <v>12</v>
      </c>
      <c r="S32" s="6">
        <f t="shared" si="9"/>
        <v>696</v>
      </c>
      <c r="T32" s="6">
        <f t="shared" si="10"/>
        <v>3.1355091000000002</v>
      </c>
      <c r="U32" s="4">
        <f t="shared" si="11"/>
        <v>2.8219581899999997</v>
      </c>
      <c r="V32" s="16">
        <f>+S32*$M$3/'COST DATA'!$D$26</f>
        <v>5.8896343529379198</v>
      </c>
      <c r="W32" s="16">
        <f t="shared" si="13"/>
        <v>1.9158274151909998E-2</v>
      </c>
      <c r="X32" s="27">
        <f t="shared" si="14"/>
        <v>109.62000000000002</v>
      </c>
      <c r="Y32" s="4">
        <f t="shared" si="15"/>
        <v>40.980694980694977</v>
      </c>
      <c r="Z32" s="4">
        <f>+(S32/$S$3)*('Finished goods'!$Q$3*$S$1)</f>
        <v>1.8483416982285714</v>
      </c>
      <c r="AA32" s="4">
        <f>+'Finished goods'!$O$3*'Project Orto'!T32</f>
        <v>0.36347226831473628</v>
      </c>
      <c r="AB32" s="4"/>
      <c r="AC32" s="7">
        <f t="shared" si="16"/>
        <v>158.72130157432812</v>
      </c>
    </row>
    <row r="35" spans="1:29" ht="18" x14ac:dyDescent="0.35">
      <c r="D35" s="237" t="s">
        <v>40</v>
      </c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4" t="s">
        <v>32</v>
      </c>
      <c r="S35" s="47">
        <f>+S37/60/7</f>
        <v>10.357142857142858</v>
      </c>
      <c r="T35" t="s">
        <v>83</v>
      </c>
    </row>
    <row r="36" spans="1:29" x14ac:dyDescent="0.3">
      <c r="D36" s="236" t="s">
        <v>33</v>
      </c>
      <c r="E36" s="236"/>
      <c r="F36" s="236"/>
      <c r="G36" s="236"/>
      <c r="H36" s="236"/>
      <c r="I36" s="236"/>
      <c r="J36" s="236"/>
      <c r="M36" s="236" t="s">
        <v>36</v>
      </c>
      <c r="N36" s="236"/>
      <c r="O36" s="236"/>
      <c r="P36" s="236"/>
      <c r="Q36" s="236"/>
      <c r="V36" s="241" t="s">
        <v>41</v>
      </c>
      <c r="W36" s="241"/>
      <c r="X36" s="241"/>
      <c r="Y36" s="241"/>
      <c r="Z36" s="241"/>
      <c r="AA36" s="241"/>
      <c r="AB36" s="241"/>
      <c r="AC36" s="241"/>
    </row>
    <row r="37" spans="1:29" ht="18" x14ac:dyDescent="0.35">
      <c r="F37" s="225" t="s">
        <v>44</v>
      </c>
      <c r="G37" s="225"/>
      <c r="I37" s="20">
        <f>SUBTOTAL(9,I39:I49)</f>
        <v>6.7672086749999991</v>
      </c>
      <c r="J37" s="20">
        <f>SUBTOTAL(9,J39:J49)</f>
        <v>6.0904878074999997</v>
      </c>
      <c r="K37" s="1">
        <f>+'Finished goods'!$I$3</f>
        <v>2500</v>
      </c>
      <c r="L37" s="1">
        <f>+'Finished goods'!$J$3</f>
        <v>0.9</v>
      </c>
      <c r="M37" s="15">
        <f>+'Finished goods'!$K$3</f>
        <v>0.50772709939119998</v>
      </c>
      <c r="N37" s="15">
        <f>+'Finished goods'!$L$3</f>
        <v>6.7889999999999999E-3</v>
      </c>
      <c r="O37" s="13">
        <f>+'Finished goods'!$M$3</f>
        <v>0.15750000000000003</v>
      </c>
      <c r="P37" s="46">
        <f>+'Finished goods'!$N$3</f>
        <v>5.8880308880308881E-2</v>
      </c>
      <c r="Q37" s="1"/>
      <c r="S37" s="17">
        <f t="shared" ref="S37:AC37" si="17">SUBTOTAL(9,S39:S49)</f>
        <v>4350</v>
      </c>
      <c r="T37" s="17">
        <f t="shared" si="17"/>
        <v>33.717334016666669</v>
      </c>
      <c r="U37" s="17">
        <f t="shared" si="17"/>
        <v>30.345600615000002</v>
      </c>
      <c r="V37" s="18">
        <f t="shared" si="17"/>
        <v>36.810214705862002</v>
      </c>
      <c r="W37" s="18">
        <f t="shared" si="17"/>
        <v>0.20601628257523499</v>
      </c>
      <c r="X37" s="18">
        <f t="shared" si="17"/>
        <v>685.125</v>
      </c>
      <c r="Y37" s="18">
        <f t="shared" si="17"/>
        <v>256.12934362934362</v>
      </c>
      <c r="Z37" s="18">
        <f t="shared" si="17"/>
        <v>11.552135613928572</v>
      </c>
      <c r="AA37" s="18">
        <f t="shared" si="17"/>
        <v>3.9085569474390782</v>
      </c>
      <c r="AB37" s="18">
        <f t="shared" si="17"/>
        <v>0</v>
      </c>
      <c r="AC37" s="19">
        <f t="shared" si="17"/>
        <v>993.73126717914852</v>
      </c>
    </row>
    <row r="38" spans="1:29" x14ac:dyDescent="0.3">
      <c r="A38" s="1" t="s">
        <v>145</v>
      </c>
      <c r="B38" s="1" t="s">
        <v>30</v>
      </c>
      <c r="C38" s="1" t="s">
        <v>0</v>
      </c>
      <c r="D38" s="1" t="s">
        <v>4</v>
      </c>
      <c r="E38" s="1" t="s">
        <v>5</v>
      </c>
      <c r="F38" s="1" t="s">
        <v>45</v>
      </c>
      <c r="G38" s="1" t="s">
        <v>57</v>
      </c>
      <c r="H38" s="1" t="s">
        <v>6</v>
      </c>
      <c r="I38" s="1" t="s">
        <v>2</v>
      </c>
      <c r="J38" s="1" t="s">
        <v>7</v>
      </c>
      <c r="K38" s="1" t="s">
        <v>31</v>
      </c>
      <c r="L38" s="1" t="s">
        <v>8</v>
      </c>
      <c r="M38" s="1" t="s">
        <v>34</v>
      </c>
      <c r="N38" s="1" t="s">
        <v>35</v>
      </c>
      <c r="O38" s="1" t="s">
        <v>37</v>
      </c>
      <c r="P38" s="1" t="s">
        <v>79</v>
      </c>
      <c r="Q38" s="1" t="s">
        <v>38</v>
      </c>
      <c r="R38" s="1" t="s">
        <v>39</v>
      </c>
      <c r="S38" s="2" t="s">
        <v>43</v>
      </c>
      <c r="T38" s="2" t="s">
        <v>2</v>
      </c>
      <c r="U38" s="2" t="s">
        <v>7</v>
      </c>
      <c r="V38" s="2">
        <f>+'Finished goods'!K38</f>
        <v>0</v>
      </c>
      <c r="W38" s="2">
        <f>+'Finished goods'!L38</f>
        <v>0</v>
      </c>
      <c r="X38" s="2">
        <f>+'Finished goods'!M38</f>
        <v>0</v>
      </c>
      <c r="Y38" s="2">
        <f>+'Finished goods'!N38</f>
        <v>0</v>
      </c>
      <c r="Z38" s="2">
        <f>+'Finished goods'!Q38</f>
        <v>0</v>
      </c>
      <c r="AA38" s="3" t="s">
        <v>111</v>
      </c>
      <c r="AB38" s="3" t="s">
        <v>115</v>
      </c>
      <c r="AC38" s="3" t="s">
        <v>42</v>
      </c>
    </row>
    <row r="39" spans="1:29" ht="14.4" customHeight="1" x14ac:dyDescent="0.3">
      <c r="A39" s="242" t="s">
        <v>413</v>
      </c>
      <c r="B39" s="21" t="s">
        <v>123</v>
      </c>
      <c r="C39" s="4" t="str">
        <f>+C22</f>
        <v>Bicchiere curve dritto</v>
      </c>
      <c r="D39" s="5">
        <f>VLOOKUP($C39,'Finished goods'!$A$5:$Q$27,2,FALSE)</f>
        <v>2</v>
      </c>
      <c r="E39" s="5">
        <f>VLOOKUP($C39,'Finished goods'!$A$5:$Q$27,3,FALSE)</f>
        <v>2</v>
      </c>
      <c r="F39" s="5">
        <f>VLOOKUP($C39,'Finished goods'!$A$5:$Q$27,4,FALSE)</f>
        <v>0.26</v>
      </c>
      <c r="G39" s="5">
        <f>VLOOKUP($C39,'Finished goods'!$A$5:$Q$27,5,FALSE)</f>
        <v>26</v>
      </c>
      <c r="H39" s="8">
        <f>VLOOKUP($C39,'Finished goods'!$A$5:$Q$27,6,FALSE)</f>
        <v>1.6928511099999999E-4</v>
      </c>
      <c r="I39" s="9">
        <f>VLOOKUP($C39,'Finished goods'!$A$5:$Q$27,7,FALSE)</f>
        <v>0.47023641944444439</v>
      </c>
      <c r="J39" s="9">
        <f>VLOOKUP($C39,'Finished goods'!$A$5:$Q$27,8,FALSE)</f>
        <v>0.42321277749999997</v>
      </c>
      <c r="R39" s="23">
        <v>12</v>
      </c>
      <c r="S39" s="6">
        <f t="shared" ref="S39:S49" si="18">+G39*$R39</f>
        <v>312</v>
      </c>
      <c r="T39" s="6">
        <f t="shared" ref="T39:T49" si="19">+I39*$R39</f>
        <v>5.6428370333333326</v>
      </c>
      <c r="U39" s="4">
        <f t="shared" ref="U39:U49" si="20">+J39*$R39</f>
        <v>5.0785533300000001</v>
      </c>
      <c r="V39" s="16">
        <f>+S39*$M$3/'COST DATA'!$D$26</f>
        <v>2.6401809168342401</v>
      </c>
      <c r="W39" s="16">
        <f>+U39*$N$3</f>
        <v>3.4478298557370002E-2</v>
      </c>
      <c r="X39" s="27">
        <f>+S39*$O$3</f>
        <v>49.140000000000008</v>
      </c>
      <c r="Y39" s="4">
        <f>+S39*$P$3</f>
        <v>18.37065637065637</v>
      </c>
      <c r="Z39" s="4">
        <f>+(S39/$S$3)*('Finished goods'!$Q$3*$S$1)</f>
        <v>0.82856696817142861</v>
      </c>
      <c r="AA39" s="4">
        <f>+'Finished goods'!$O$3*'Project Orto'!T39</f>
        <v>0.65412496370559525</v>
      </c>
      <c r="AB39" s="4"/>
      <c r="AC39" s="7">
        <f>+V39+W39+X39+Y39+Z39+AA39+AB39</f>
        <v>71.668007517925005</v>
      </c>
    </row>
    <row r="40" spans="1:29" x14ac:dyDescent="0.3">
      <c r="A40" s="243"/>
      <c r="B40" s="21" t="s">
        <v>123</v>
      </c>
      <c r="C40" s="4" t="str">
        <f t="shared" ref="C40:C49" si="21">+C23</f>
        <v>Bicchiere curve twist</v>
      </c>
      <c r="D40" s="5">
        <f>VLOOKUP($C40,'Finished goods'!$A$5:$Q$27,2,FALSE)</f>
        <v>2</v>
      </c>
      <c r="E40" s="5">
        <f>VLOOKUP($C40,'Finished goods'!$A$5:$Q$27,3,FALSE)</f>
        <v>2</v>
      </c>
      <c r="F40" s="5">
        <f>VLOOKUP($C40,'Finished goods'!$A$5:$Q$27,4,FALSE)</f>
        <v>0.25</v>
      </c>
      <c r="G40" s="5">
        <f>VLOOKUP($C40,'Finished goods'!$A$5:$Q$27,5,FALSE)</f>
        <v>25</v>
      </c>
      <c r="H40" s="8">
        <f>VLOOKUP($C40,'Finished goods'!$A$5:$Q$27,6,FALSE)</f>
        <v>1.69285896E-4</v>
      </c>
      <c r="I40" s="9">
        <f>VLOOKUP($C40,'Finished goods'!$A$5:$Q$27,7,FALSE)</f>
        <v>0.47023859999999995</v>
      </c>
      <c r="J40" s="9">
        <f>VLOOKUP($C40,'Finished goods'!$A$5:$Q$27,8,FALSE)</f>
        <v>0.42321473999999998</v>
      </c>
      <c r="R40" s="23">
        <v>12</v>
      </c>
      <c r="S40" s="6">
        <f t="shared" si="18"/>
        <v>300</v>
      </c>
      <c r="T40" s="6">
        <f t="shared" si="19"/>
        <v>5.642863199999999</v>
      </c>
      <c r="U40" s="4">
        <f t="shared" si="20"/>
        <v>5.07857688</v>
      </c>
      <c r="V40" s="16">
        <f>+S40*$M$3/'COST DATA'!$D$26</f>
        <v>2.5386354969559997</v>
      </c>
      <c r="W40" s="16">
        <f t="shared" ref="W40:W49" si="22">+U40*$N$3</f>
        <v>3.4478458438320002E-2</v>
      </c>
      <c r="X40" s="27">
        <f t="shared" ref="X40:X49" si="23">+S40*$O$3</f>
        <v>47.250000000000007</v>
      </c>
      <c r="Y40" s="4">
        <f t="shared" ref="Y40:Y49" si="24">+S40*$P$3</f>
        <v>17.664092664092664</v>
      </c>
      <c r="Z40" s="4">
        <f>+(S40/$S$3)*('Finished goods'!$Q$3*$S$1)</f>
        <v>0.79669900785714287</v>
      </c>
      <c r="AA40" s="4">
        <f>+'Finished goods'!$O$3*'Project Orto'!T40</f>
        <v>0.65412799697942225</v>
      </c>
      <c r="AB40" s="4"/>
      <c r="AC40" s="7">
        <f t="shared" ref="AC40:AC49" si="25">+V40+W40+X40+Y40+Z40+AA40+AB40</f>
        <v>68.938033624323552</v>
      </c>
    </row>
    <row r="41" spans="1:29" x14ac:dyDescent="0.3">
      <c r="A41" s="243"/>
      <c r="B41" s="21" t="s">
        <v>123</v>
      </c>
      <c r="C41" s="4" t="str">
        <f t="shared" si="21"/>
        <v>Caraffa curva</v>
      </c>
      <c r="D41" s="5">
        <f>VLOOKUP($C41,'Finished goods'!$A$5:$Q$27,2,FALSE)</f>
        <v>2</v>
      </c>
      <c r="E41" s="5">
        <f>VLOOKUP($C41,'Finished goods'!$A$5:$Q$27,3,FALSE)</f>
        <v>2</v>
      </c>
      <c r="F41" s="5">
        <f>VLOOKUP($C41,'Finished goods'!$A$5:$Q$27,4,FALSE)</f>
        <v>0.56999999999999995</v>
      </c>
      <c r="G41" s="5">
        <f>VLOOKUP($C41,'Finished goods'!$A$5:$Q$27,5,FALSE)</f>
        <v>57</v>
      </c>
      <c r="H41" s="8">
        <f>VLOOKUP($C41,'Finished goods'!$A$5:$Q$27,6,FALSE)</f>
        <v>3.69342133E-4</v>
      </c>
      <c r="I41" s="9">
        <f>VLOOKUP($C41,'Finished goods'!$A$5:$Q$27,7,FALSE)</f>
        <v>1.0259503694444445</v>
      </c>
      <c r="J41" s="9">
        <f>VLOOKUP($C41,'Finished goods'!$A$5:$Q$27,8,FALSE)</f>
        <v>0.92335533250000001</v>
      </c>
      <c r="R41" s="23">
        <v>2</v>
      </c>
      <c r="S41" s="6">
        <f t="shared" si="18"/>
        <v>114</v>
      </c>
      <c r="T41" s="6">
        <f t="shared" si="19"/>
        <v>2.051900738888889</v>
      </c>
      <c r="U41" s="4">
        <f t="shared" si="20"/>
        <v>1.846710665</v>
      </c>
      <c r="V41" s="16">
        <f>+S41*$M$3/'COST DATA'!$D$26</f>
        <v>0.96468148884327987</v>
      </c>
      <c r="W41" s="16">
        <f t="shared" si="22"/>
        <v>1.2537318704685E-2</v>
      </c>
      <c r="X41" s="27">
        <f t="shared" si="23"/>
        <v>17.955000000000002</v>
      </c>
      <c r="Y41" s="4">
        <f t="shared" si="24"/>
        <v>6.7123552123552122</v>
      </c>
      <c r="Z41" s="4">
        <f>+(S41/$S$3)*('Finished goods'!$Q$3*$S$1)</f>
        <v>0.30274562298571428</v>
      </c>
      <c r="AA41" s="4">
        <f>+'Finished goods'!$O$3*'Project Orto'!T41</f>
        <v>0.23785898625541477</v>
      </c>
      <c r="AB41" s="4"/>
      <c r="AC41" s="7">
        <f t="shared" si="25"/>
        <v>26.185178629144307</v>
      </c>
    </row>
    <row r="42" spans="1:29" x14ac:dyDescent="0.3">
      <c r="A42" s="243"/>
      <c r="B42" s="21" t="s">
        <v>123</v>
      </c>
      <c r="C42" s="4" t="str">
        <f t="shared" si="21"/>
        <v>Caraffa colonna dritta</v>
      </c>
      <c r="D42" s="5">
        <f>VLOOKUP($C42,'Finished goods'!$A$5:$Q$27,2,FALSE)</f>
        <v>2</v>
      </c>
      <c r="E42" s="5">
        <f>VLOOKUP($C42,'Finished goods'!$A$5:$Q$27,3,FALSE)</f>
        <v>1</v>
      </c>
      <c r="F42" s="5">
        <f>VLOOKUP($C42,'Finished goods'!$A$5:$Q$27,4,FALSE)</f>
        <v>1.4</v>
      </c>
      <c r="G42" s="5">
        <f>VLOOKUP($C42,'Finished goods'!$A$5:$Q$27,5,FALSE)</f>
        <v>100</v>
      </c>
      <c r="H42" s="8">
        <f>VLOOKUP($C42,'Finished goods'!$A$5:$Q$27,6,FALSE)</f>
        <v>3.2796365999999998E-4</v>
      </c>
      <c r="I42" s="9">
        <f>VLOOKUP($C42,'Finished goods'!$A$5:$Q$27,7,FALSE)</f>
        <v>0.91101016666666657</v>
      </c>
      <c r="J42" s="9">
        <f>VLOOKUP($C42,'Finished goods'!$A$5:$Q$27,8,FALSE)</f>
        <v>0.81990914999999998</v>
      </c>
      <c r="R42" s="23">
        <v>2</v>
      </c>
      <c r="S42" s="6">
        <f t="shared" si="18"/>
        <v>200</v>
      </c>
      <c r="T42" s="6">
        <f t="shared" si="19"/>
        <v>1.8220203333333331</v>
      </c>
      <c r="U42" s="4">
        <f t="shared" si="20"/>
        <v>1.6398183</v>
      </c>
      <c r="V42" s="16">
        <f>+S42*$M$3/'COST DATA'!$D$26</f>
        <v>1.6924236646373332</v>
      </c>
      <c r="W42" s="16">
        <f t="shared" si="22"/>
        <v>1.1132726438699999E-2</v>
      </c>
      <c r="X42" s="27">
        <f t="shared" si="23"/>
        <v>31.500000000000007</v>
      </c>
      <c r="Y42" s="4">
        <f t="shared" si="24"/>
        <v>11.776061776061777</v>
      </c>
      <c r="Z42" s="4">
        <f>+(S42/$S$3)*('Finished goods'!$Q$3*$S$1)</f>
        <v>0.53113267190476188</v>
      </c>
      <c r="AA42" s="4">
        <f>+'Finished goods'!$O$3*'Project Orto'!T42</f>
        <v>0.21121095246454188</v>
      </c>
      <c r="AB42" s="4"/>
      <c r="AC42" s="7">
        <f t="shared" si="25"/>
        <v>45.72196179150712</v>
      </c>
    </row>
    <row r="43" spans="1:29" x14ac:dyDescent="0.3">
      <c r="A43" s="243"/>
      <c r="B43" s="21" t="s">
        <v>123</v>
      </c>
      <c r="C43" s="4" t="str">
        <f t="shared" si="21"/>
        <v>Caraffa colonna twist1</v>
      </c>
      <c r="D43" s="5">
        <f>VLOOKUP($C43,'Finished goods'!$A$5:$Q$27,2,FALSE)</f>
        <v>2</v>
      </c>
      <c r="E43" s="5">
        <f>VLOOKUP($C43,'Finished goods'!$A$5:$Q$27,3,FALSE)</f>
        <v>1</v>
      </c>
      <c r="F43" s="5">
        <f>VLOOKUP($C43,'Finished goods'!$A$5:$Q$27,4,FALSE)</f>
        <v>1.41</v>
      </c>
      <c r="G43" s="5">
        <f>VLOOKUP($C43,'Finished goods'!$A$5:$Q$27,5,FALSE)</f>
        <v>101</v>
      </c>
      <c r="H43" s="8">
        <f>VLOOKUP($C43,'Finished goods'!$A$5:$Q$27,6,FALSE)</f>
        <v>3.323221E-4</v>
      </c>
      <c r="I43" s="9">
        <f>VLOOKUP($C43,'Finished goods'!$A$5:$Q$27,7,FALSE)</f>
        <v>0.92311694444444448</v>
      </c>
      <c r="J43" s="9">
        <f>VLOOKUP($C43,'Finished goods'!$A$5:$Q$27,8,FALSE)</f>
        <v>0.83080525000000005</v>
      </c>
      <c r="R43" s="23">
        <v>2</v>
      </c>
      <c r="S43" s="6">
        <f t="shared" si="18"/>
        <v>202</v>
      </c>
      <c r="T43" s="6">
        <f t="shared" si="19"/>
        <v>1.846233888888889</v>
      </c>
      <c r="U43" s="4">
        <f t="shared" si="20"/>
        <v>1.6616105000000001</v>
      </c>
      <c r="V43" s="16">
        <f>+S43*$M$3/'COST DATA'!$D$26</f>
        <v>1.7093479012837065</v>
      </c>
      <c r="W43" s="16">
        <f t="shared" si="22"/>
        <v>1.12806736845E-2</v>
      </c>
      <c r="X43" s="27">
        <f t="shared" si="23"/>
        <v>31.815000000000005</v>
      </c>
      <c r="Y43" s="4">
        <f t="shared" si="24"/>
        <v>11.893822393822393</v>
      </c>
      <c r="Z43" s="4">
        <f>+(S43/$S$3)*('Finished goods'!$Q$3*$S$1)</f>
        <v>0.53644399862380954</v>
      </c>
      <c r="AA43" s="4">
        <f>+'Finished goods'!$O$3*'Project Orto'!T43</f>
        <v>0.21401781912671894</v>
      </c>
      <c r="AB43" s="4"/>
      <c r="AC43" s="7">
        <f t="shared" si="25"/>
        <v>46.179912786541131</v>
      </c>
    </row>
    <row r="44" spans="1:29" x14ac:dyDescent="0.3">
      <c r="A44" s="243"/>
      <c r="B44" s="21" t="s">
        <v>123</v>
      </c>
      <c r="C44" s="4" t="str">
        <f t="shared" si="21"/>
        <v>Caraffa colonna twist2</v>
      </c>
      <c r="D44" s="5">
        <f>VLOOKUP($C44,'Finished goods'!$A$5:$Q$27,2,FALSE)</f>
        <v>2</v>
      </c>
      <c r="E44" s="5">
        <f>VLOOKUP($C44,'Finished goods'!$A$5:$Q$27,3,FALSE)</f>
        <v>1</v>
      </c>
      <c r="F44" s="5">
        <f>VLOOKUP($C44,'Finished goods'!$A$5:$Q$27,4,FALSE)</f>
        <v>1.45</v>
      </c>
      <c r="G44" s="5">
        <f>VLOOKUP($C44,'Finished goods'!$A$5:$Q$27,5,FALSE)</f>
        <v>105</v>
      </c>
      <c r="H44" s="8">
        <f>VLOOKUP($C44,'Finished goods'!$A$5:$Q$27,6,FALSE)</f>
        <v>3.4271101000000001E-4</v>
      </c>
      <c r="I44" s="9">
        <f>VLOOKUP($C44,'Finished goods'!$A$5:$Q$27,7,FALSE)</f>
        <v>0.95197502777777776</v>
      </c>
      <c r="J44" s="9">
        <f>VLOOKUP($C44,'Finished goods'!$A$5:$Q$27,8,FALSE)</f>
        <v>0.85677752500000004</v>
      </c>
      <c r="R44" s="23">
        <v>2</v>
      </c>
      <c r="S44" s="6">
        <f t="shared" si="18"/>
        <v>210</v>
      </c>
      <c r="T44" s="6">
        <f t="shared" si="19"/>
        <v>1.9039500555555555</v>
      </c>
      <c r="U44" s="4">
        <f t="shared" si="20"/>
        <v>1.7135550500000001</v>
      </c>
      <c r="V44" s="16">
        <f>+S44*$M$3/'COST DATA'!$D$26</f>
        <v>1.7770448478691998</v>
      </c>
      <c r="W44" s="16">
        <f t="shared" si="22"/>
        <v>1.1633325234450001E-2</v>
      </c>
      <c r="X44" s="27">
        <f t="shared" si="23"/>
        <v>33.075000000000003</v>
      </c>
      <c r="Y44" s="4">
        <f t="shared" si="24"/>
        <v>12.364864864864865</v>
      </c>
      <c r="Z44" s="4">
        <f>+(S44/$S$3)*('Finished goods'!$Q$3*$S$1)</f>
        <v>0.55768930550000007</v>
      </c>
      <c r="AA44" s="4">
        <f>+'Finished goods'!$O$3*'Project Orto'!T44</f>
        <v>0.22070835177953907</v>
      </c>
      <c r="AB44" s="4"/>
      <c r="AC44" s="7">
        <f t="shared" si="25"/>
        <v>48.006940695248055</v>
      </c>
    </row>
    <row r="45" spans="1:29" x14ac:dyDescent="0.3">
      <c r="A45" s="243"/>
      <c r="B45" s="21" t="s">
        <v>123</v>
      </c>
      <c r="C45" s="4" t="str">
        <f t="shared" si="21"/>
        <v>Caraffa colonna twist3</v>
      </c>
      <c r="D45" s="5">
        <f>VLOOKUP($C45,'Finished goods'!$A$5:$Q$27,2,FALSE)</f>
        <v>2</v>
      </c>
      <c r="E45" s="5">
        <f>VLOOKUP($C45,'Finished goods'!$A$5:$Q$27,3,FALSE)</f>
        <v>1</v>
      </c>
      <c r="F45" s="5">
        <f>VLOOKUP($C45,'Finished goods'!$A$5:$Q$27,4,FALSE)</f>
        <v>1.42</v>
      </c>
      <c r="G45" s="5">
        <f>VLOOKUP($C45,'Finished goods'!$A$5:$Q$27,5,FALSE)</f>
        <v>102</v>
      </c>
      <c r="H45" s="8">
        <f>VLOOKUP($C45,'Finished goods'!$A$5:$Q$27,6,FALSE)</f>
        <v>3.3727121999999998E-4</v>
      </c>
      <c r="I45" s="9">
        <f>VLOOKUP($C45,'Finished goods'!$A$5:$Q$27,7,FALSE)</f>
        <v>0.93686449999999988</v>
      </c>
      <c r="J45" s="9">
        <f>VLOOKUP($C45,'Finished goods'!$A$5:$Q$27,8,FALSE)</f>
        <v>0.8431780499999999</v>
      </c>
      <c r="R45" s="23">
        <v>2</v>
      </c>
      <c r="S45" s="6">
        <f t="shared" si="18"/>
        <v>204</v>
      </c>
      <c r="T45" s="6">
        <f t="shared" si="19"/>
        <v>1.8737289999999998</v>
      </c>
      <c r="U45" s="4">
        <f t="shared" si="20"/>
        <v>1.6863560999999998</v>
      </c>
      <c r="V45" s="16">
        <f>+S45*$M$3/'COST DATA'!$D$26</f>
        <v>1.7262721379300801</v>
      </c>
      <c r="W45" s="16">
        <f t="shared" si="22"/>
        <v>1.1448671562899998E-2</v>
      </c>
      <c r="X45" s="27">
        <f t="shared" si="23"/>
        <v>32.130000000000003</v>
      </c>
      <c r="Y45" s="4">
        <f t="shared" si="24"/>
        <v>12.011583011583012</v>
      </c>
      <c r="Z45" s="4">
        <f>+(S45/$S$3)*('Finished goods'!$Q$3*$S$1)</f>
        <v>0.5417553253428572</v>
      </c>
      <c r="AA45" s="4">
        <f>+'Finished goods'!$O$3*'Project Orto'!T45</f>
        <v>0.21720508795114082</v>
      </c>
      <c r="AB45" s="4"/>
      <c r="AC45" s="7">
        <f t="shared" si="25"/>
        <v>46.638264234369991</v>
      </c>
    </row>
    <row r="46" spans="1:29" x14ac:dyDescent="0.3">
      <c r="A46" s="243"/>
      <c r="B46" s="21" t="s">
        <v>123</v>
      </c>
      <c r="C46" s="4" t="str">
        <f t="shared" si="21"/>
        <v>Bicchiere colonna twist1</v>
      </c>
      <c r="D46" s="5">
        <f>VLOOKUP($C46,'Finished goods'!$A$5:$Q$27,2,FALSE)</f>
        <v>1</v>
      </c>
      <c r="E46" s="5">
        <f>VLOOKUP($C46,'Finished goods'!$A$5:$Q$27,3,FALSE)</f>
        <v>1</v>
      </c>
      <c r="F46" s="5">
        <f>VLOOKUP($C46,'Finished goods'!$A$5:$Q$27,4,FALSE)</f>
        <v>0.57999999999999996</v>
      </c>
      <c r="G46" s="5">
        <f>VLOOKUP($C46,'Finished goods'!$A$5:$Q$27,5,FALSE)</f>
        <v>58</v>
      </c>
      <c r="H46" s="8">
        <f>VLOOKUP($C46,'Finished goods'!$A$5:$Q$27,6,FALSE)</f>
        <v>9.7981700000000004E-5</v>
      </c>
      <c r="I46" s="9">
        <f>VLOOKUP($C46,'Finished goods'!$A$5:$Q$27,7,FALSE)</f>
        <v>0.27217138888888892</v>
      </c>
      <c r="J46" s="9">
        <f>VLOOKUP($C46,'Finished goods'!$A$5:$Q$27,8,FALSE)</f>
        <v>0.24495425000000001</v>
      </c>
      <c r="R46" s="23">
        <v>12</v>
      </c>
      <c r="S46" s="6">
        <f t="shared" si="18"/>
        <v>696</v>
      </c>
      <c r="T46" s="6">
        <f t="shared" si="19"/>
        <v>3.2660566666666671</v>
      </c>
      <c r="U46" s="4">
        <f t="shared" si="20"/>
        <v>2.939451</v>
      </c>
      <c r="V46" s="16">
        <f>+S46*$M$3/'COST DATA'!$D$26</f>
        <v>5.8896343529379198</v>
      </c>
      <c r="W46" s="16">
        <f t="shared" si="22"/>
        <v>1.9955932839000001E-2</v>
      </c>
      <c r="X46" s="27">
        <f t="shared" si="23"/>
        <v>109.62000000000002</v>
      </c>
      <c r="Y46" s="4">
        <f t="shared" si="24"/>
        <v>40.980694980694977</v>
      </c>
      <c r="Z46" s="4">
        <f>+(S46/$S$3)*('Finished goods'!$Q$3*$S$1)</f>
        <v>1.8483416982285714</v>
      </c>
      <c r="AA46" s="4">
        <f>+'Finished goods'!$O$3*'Project Orto'!T46</f>
        <v>0.37860551100865886</v>
      </c>
      <c r="AB46" s="4"/>
      <c r="AC46" s="7">
        <f t="shared" si="25"/>
        <v>158.73723247570913</v>
      </c>
    </row>
    <row r="47" spans="1:29" x14ac:dyDescent="0.3">
      <c r="A47" s="243"/>
      <c r="B47" s="21" t="s">
        <v>123</v>
      </c>
      <c r="C47" s="4" t="str">
        <f t="shared" si="21"/>
        <v>Bicchiere colonna twist2</v>
      </c>
      <c r="D47" s="5">
        <f>VLOOKUP($C47,'Finished goods'!$A$5:$Q$27,2,FALSE)</f>
        <v>1</v>
      </c>
      <c r="E47" s="5">
        <f>VLOOKUP($C47,'Finished goods'!$A$5:$Q$27,3,FALSE)</f>
        <v>1</v>
      </c>
      <c r="F47" s="5">
        <f>VLOOKUP($C47,'Finished goods'!$A$5:$Q$27,4,FALSE)</f>
        <v>0.59</v>
      </c>
      <c r="G47" s="5">
        <f>VLOOKUP($C47,'Finished goods'!$A$5:$Q$27,5,FALSE)</f>
        <v>59</v>
      </c>
      <c r="H47" s="8">
        <f>VLOOKUP($C47,'Finished goods'!$A$5:$Q$27,6,FALSE)</f>
        <v>9.7982366999999995E-5</v>
      </c>
      <c r="I47" s="9">
        <f>VLOOKUP($C47,'Finished goods'!$A$5:$Q$27,7,FALSE)</f>
        <v>0.27217324166666662</v>
      </c>
      <c r="J47" s="9">
        <f>VLOOKUP($C47,'Finished goods'!$A$5:$Q$27,8,FALSE)</f>
        <v>0.24495591749999998</v>
      </c>
      <c r="R47" s="23">
        <v>12</v>
      </c>
      <c r="S47" s="6">
        <f t="shared" si="18"/>
        <v>708</v>
      </c>
      <c r="T47" s="6">
        <f t="shared" si="19"/>
        <v>3.2660788999999992</v>
      </c>
      <c r="U47" s="4">
        <f t="shared" si="20"/>
        <v>2.9394710099999997</v>
      </c>
      <c r="V47" s="16">
        <f>+S47*$M$3/'COST DATA'!$D$26</f>
        <v>5.9911797728161593</v>
      </c>
      <c r="W47" s="16">
        <f t="shared" si="22"/>
        <v>1.9956068686889997E-2</v>
      </c>
      <c r="X47" s="27">
        <f t="shared" si="23"/>
        <v>111.51000000000002</v>
      </c>
      <c r="Y47" s="4">
        <f t="shared" si="24"/>
        <v>41.687258687258691</v>
      </c>
      <c r="Z47" s="4">
        <f>+(S47/$S$3)*('Finished goods'!$Q$3*$S$1)</f>
        <v>1.8802096585428572</v>
      </c>
      <c r="AA47" s="4">
        <f>+'Finished goods'!$O$3*'Project Orto'!T47</f>
        <v>0.37860808832540094</v>
      </c>
      <c r="AB47" s="4"/>
      <c r="AC47" s="7">
        <f t="shared" si="25"/>
        <v>161.46721227563</v>
      </c>
    </row>
    <row r="48" spans="1:29" x14ac:dyDescent="0.3">
      <c r="A48" s="243"/>
      <c r="B48" s="21" t="s">
        <v>123</v>
      </c>
      <c r="C48" s="4" t="str">
        <f t="shared" si="21"/>
        <v>Bicchiere colonna twist3</v>
      </c>
      <c r="D48" s="5">
        <f>VLOOKUP($C48,'Finished goods'!$A$5:$Q$27,2,FALSE)</f>
        <v>1</v>
      </c>
      <c r="E48" s="5">
        <f>VLOOKUP($C48,'Finished goods'!$A$5:$Q$27,3,FALSE)</f>
        <v>1</v>
      </c>
      <c r="F48" s="5">
        <f>VLOOKUP($C48,'Finished goods'!$A$5:$Q$27,4,FALSE)</f>
        <v>0.59</v>
      </c>
      <c r="G48" s="5">
        <f>VLOOKUP($C48,'Finished goods'!$A$5:$Q$27,5,FALSE)</f>
        <v>59</v>
      </c>
      <c r="H48" s="8">
        <f>VLOOKUP($C48,'Finished goods'!$A$5:$Q$27,6,FALSE)</f>
        <v>9.7984652999999995E-5</v>
      </c>
      <c r="I48" s="9">
        <f>VLOOKUP($C48,'Finished goods'!$A$5:$Q$27,7,FALSE)</f>
        <v>0.27217959166666666</v>
      </c>
      <c r="J48" s="9">
        <f>VLOOKUP($C48,'Finished goods'!$A$5:$Q$27,8,FALSE)</f>
        <v>0.2449616325</v>
      </c>
      <c r="R48" s="23">
        <v>12</v>
      </c>
      <c r="S48" s="6">
        <f t="shared" si="18"/>
        <v>708</v>
      </c>
      <c r="T48" s="6">
        <f t="shared" si="19"/>
        <v>3.2661550999999998</v>
      </c>
      <c r="U48" s="4">
        <f t="shared" si="20"/>
        <v>2.9395395899999999</v>
      </c>
      <c r="V48" s="16">
        <f>+S48*$M$3/'COST DATA'!$D$26</f>
        <v>5.9911797728161593</v>
      </c>
      <c r="W48" s="16">
        <f t="shared" si="22"/>
        <v>1.995653427651E-2</v>
      </c>
      <c r="X48" s="27">
        <f t="shared" si="23"/>
        <v>111.51000000000002</v>
      </c>
      <c r="Y48" s="4">
        <f t="shared" si="24"/>
        <v>41.687258687258691</v>
      </c>
      <c r="Z48" s="4">
        <f>+(S48/$S$3)*('Finished goods'!$Q$3*$S$1)</f>
        <v>1.8802096585428572</v>
      </c>
      <c r="AA48" s="4">
        <f>+'Finished goods'!$O$3*'Project Orto'!T48</f>
        <v>0.37861692152790888</v>
      </c>
      <c r="AB48" s="4"/>
      <c r="AC48" s="7">
        <f t="shared" si="25"/>
        <v>161.46722157442215</v>
      </c>
    </row>
    <row r="49" spans="1:29" x14ac:dyDescent="0.3">
      <c r="A49" s="244"/>
      <c r="B49" s="21" t="s">
        <v>123</v>
      </c>
      <c r="C49" s="4" t="str">
        <f t="shared" si="21"/>
        <v>Bicchiere colonna twist alto</v>
      </c>
      <c r="D49" s="5">
        <f>VLOOKUP($C49,'Finished goods'!$A$5:$Q$27,2,FALSE)</f>
        <v>1</v>
      </c>
      <c r="E49" s="5">
        <f>VLOOKUP($C49,'Finished goods'!$A$5:$Q$27,3,FALSE)</f>
        <v>1</v>
      </c>
      <c r="F49" s="5">
        <f>VLOOKUP($C49,'Finished goods'!$A$5:$Q$27,4,FALSE)</f>
        <v>0.57999999999999996</v>
      </c>
      <c r="G49" s="5">
        <f>VLOOKUP($C49,'Finished goods'!$A$5:$Q$27,5,FALSE)</f>
        <v>58</v>
      </c>
      <c r="H49" s="8">
        <f>VLOOKUP($C49,'Finished goods'!$A$5:$Q$27,6,FALSE)</f>
        <v>9.4065272999999995E-5</v>
      </c>
      <c r="I49" s="9">
        <f>VLOOKUP($C49,'Finished goods'!$A$5:$Q$27,7,FALSE)</f>
        <v>0.26129242499999999</v>
      </c>
      <c r="J49" s="9">
        <f>VLOOKUP($C49,'Finished goods'!$A$5:$Q$27,8,FALSE)</f>
        <v>0.23516318249999998</v>
      </c>
      <c r="R49" s="23">
        <v>12</v>
      </c>
      <c r="S49" s="6">
        <f t="shared" si="18"/>
        <v>696</v>
      </c>
      <c r="T49" s="6">
        <f t="shared" si="19"/>
        <v>3.1355091000000002</v>
      </c>
      <c r="U49" s="4">
        <f t="shared" si="20"/>
        <v>2.8219581899999997</v>
      </c>
      <c r="V49" s="16">
        <f>+S49*$M$3/'COST DATA'!$D$26</f>
        <v>5.8896343529379198</v>
      </c>
      <c r="W49" s="16">
        <f t="shared" si="22"/>
        <v>1.9158274151909998E-2</v>
      </c>
      <c r="X49" s="27">
        <f t="shared" si="23"/>
        <v>109.62000000000002</v>
      </c>
      <c r="Y49" s="4">
        <f t="shared" si="24"/>
        <v>40.980694980694977</v>
      </c>
      <c r="Z49" s="4">
        <f>+(S49/$S$3)*('Finished goods'!$Q$3*$S$1)</f>
        <v>1.8483416982285714</v>
      </c>
      <c r="AA49" s="4">
        <f>+'Finished goods'!$O$3*'Project Orto'!T49</f>
        <v>0.36347226831473628</v>
      </c>
      <c r="AB49" s="4"/>
      <c r="AC49" s="7">
        <f t="shared" si="25"/>
        <v>158.72130157432812</v>
      </c>
    </row>
    <row r="52" spans="1:29" ht="18" x14ac:dyDescent="0.35">
      <c r="D52" s="237" t="s">
        <v>40</v>
      </c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4" t="s">
        <v>32</v>
      </c>
      <c r="S52" s="47">
        <f>+S54/60/7</f>
        <v>10.357142857142858</v>
      </c>
      <c r="T52" t="s">
        <v>83</v>
      </c>
    </row>
    <row r="53" spans="1:29" x14ac:dyDescent="0.3">
      <c r="D53" s="236" t="s">
        <v>33</v>
      </c>
      <c r="E53" s="236"/>
      <c r="F53" s="236"/>
      <c r="G53" s="236"/>
      <c r="H53" s="236"/>
      <c r="I53" s="236"/>
      <c r="J53" s="236"/>
      <c r="M53" s="236" t="s">
        <v>36</v>
      </c>
      <c r="N53" s="236"/>
      <c r="O53" s="236"/>
      <c r="P53" s="236"/>
      <c r="Q53" s="236"/>
      <c r="V53" s="241" t="s">
        <v>41</v>
      </c>
      <c r="W53" s="241"/>
      <c r="X53" s="241"/>
      <c r="Y53" s="241"/>
      <c r="Z53" s="241"/>
      <c r="AA53" s="241"/>
      <c r="AB53" s="241"/>
      <c r="AC53" s="241"/>
    </row>
    <row r="54" spans="1:29" ht="18" x14ac:dyDescent="0.35">
      <c r="F54" s="225" t="s">
        <v>44</v>
      </c>
      <c r="G54" s="225"/>
      <c r="I54" s="20">
        <f>SUBTOTAL(9,I56:I66)</f>
        <v>6.7672086749999991</v>
      </c>
      <c r="J54" s="20">
        <f>SUBTOTAL(9,J56:J66)</f>
        <v>6.0904878074999997</v>
      </c>
      <c r="K54" s="1">
        <f>+'Finished goods'!$I$3</f>
        <v>2500</v>
      </c>
      <c r="L54" s="1">
        <f>+'Finished goods'!$J$3</f>
        <v>0.9</v>
      </c>
      <c r="M54" s="15">
        <f>+'Finished goods'!$K$3</f>
        <v>0.50772709939119998</v>
      </c>
      <c r="N54" s="15">
        <f>+'Finished goods'!$L$3</f>
        <v>6.7889999999999999E-3</v>
      </c>
      <c r="O54" s="13">
        <f>+'Finished goods'!$M$3</f>
        <v>0.15750000000000003</v>
      </c>
      <c r="P54" s="46">
        <f>+'Finished goods'!$N$3</f>
        <v>5.8880308880308881E-2</v>
      </c>
      <c r="Q54" s="1"/>
      <c r="S54" s="17">
        <f t="shared" ref="S54:AC54" si="26">SUBTOTAL(9,S56:S66)</f>
        <v>4350</v>
      </c>
      <c r="T54" s="17">
        <f t="shared" si="26"/>
        <v>33.717334016666669</v>
      </c>
      <c r="U54" s="17">
        <f t="shared" si="26"/>
        <v>30.345600615000002</v>
      </c>
      <c r="V54" s="18">
        <f t="shared" si="26"/>
        <v>36.810214705862002</v>
      </c>
      <c r="W54" s="18">
        <f t="shared" si="26"/>
        <v>0.20601628257523499</v>
      </c>
      <c r="X54" s="18">
        <f t="shared" si="26"/>
        <v>685.125</v>
      </c>
      <c r="Y54" s="18">
        <f t="shared" si="26"/>
        <v>256.12934362934362</v>
      </c>
      <c r="Z54" s="18">
        <f t="shared" si="26"/>
        <v>11.552135613928572</v>
      </c>
      <c r="AA54" s="18">
        <f t="shared" si="26"/>
        <v>3.9085569474390782</v>
      </c>
      <c r="AB54" s="18">
        <f t="shared" si="26"/>
        <v>0</v>
      </c>
      <c r="AC54" s="19">
        <f t="shared" si="26"/>
        <v>993.73126717914852</v>
      </c>
    </row>
    <row r="55" spans="1:29" x14ac:dyDescent="0.3">
      <c r="A55" s="1" t="s">
        <v>145</v>
      </c>
      <c r="B55" s="1" t="s">
        <v>30</v>
      </c>
      <c r="C55" s="1" t="s">
        <v>0</v>
      </c>
      <c r="D55" s="1" t="s">
        <v>4</v>
      </c>
      <c r="E55" s="1" t="s">
        <v>5</v>
      </c>
      <c r="F55" s="1" t="s">
        <v>45</v>
      </c>
      <c r="G55" s="1" t="s">
        <v>57</v>
      </c>
      <c r="H55" s="1" t="s">
        <v>6</v>
      </c>
      <c r="I55" s="1" t="s">
        <v>2</v>
      </c>
      <c r="J55" s="1" t="s">
        <v>7</v>
      </c>
      <c r="K55" s="1" t="s">
        <v>31</v>
      </c>
      <c r="L55" s="1" t="s">
        <v>8</v>
      </c>
      <c r="M55" s="1" t="s">
        <v>34</v>
      </c>
      <c r="N55" s="1" t="s">
        <v>35</v>
      </c>
      <c r="O55" s="1" t="s">
        <v>37</v>
      </c>
      <c r="P55" s="1" t="s">
        <v>79</v>
      </c>
      <c r="Q55" s="1" t="s">
        <v>38</v>
      </c>
      <c r="R55" s="1" t="s">
        <v>39</v>
      </c>
      <c r="S55" s="2" t="s">
        <v>43</v>
      </c>
      <c r="T55" s="2" t="s">
        <v>2</v>
      </c>
      <c r="U55" s="2" t="s">
        <v>7</v>
      </c>
      <c r="V55" s="2">
        <f>+'Finished goods'!K55</f>
        <v>0</v>
      </c>
      <c r="W55" s="2">
        <f>+'Finished goods'!L55</f>
        <v>0</v>
      </c>
      <c r="X55" s="2">
        <f>+'Finished goods'!M55</f>
        <v>0</v>
      </c>
      <c r="Y55" s="2">
        <f>+'Finished goods'!N55</f>
        <v>0</v>
      </c>
      <c r="Z55" s="2">
        <f>+'Finished goods'!Q55</f>
        <v>0</v>
      </c>
      <c r="AA55" s="3" t="s">
        <v>111</v>
      </c>
      <c r="AB55" s="3" t="s">
        <v>115</v>
      </c>
      <c r="AC55" s="3" t="s">
        <v>42</v>
      </c>
    </row>
    <row r="56" spans="1:29" ht="14.4" customHeight="1" x14ac:dyDescent="0.3">
      <c r="A56" s="242" t="s">
        <v>414</v>
      </c>
      <c r="B56" s="21" t="s">
        <v>123</v>
      </c>
      <c r="C56" s="4" t="str">
        <f>+C39</f>
        <v>Bicchiere curve dritto</v>
      </c>
      <c r="D56" s="5">
        <f>VLOOKUP($C56,'Finished goods'!$A$5:$Q$27,2,FALSE)</f>
        <v>2</v>
      </c>
      <c r="E56" s="5">
        <f>VLOOKUP($C56,'Finished goods'!$A$5:$Q$27,3,FALSE)</f>
        <v>2</v>
      </c>
      <c r="F56" s="5">
        <f>VLOOKUP($C56,'Finished goods'!$A$5:$Q$27,4,FALSE)</f>
        <v>0.26</v>
      </c>
      <c r="G56" s="5">
        <f>VLOOKUP($C56,'Finished goods'!$A$5:$Q$27,5,FALSE)</f>
        <v>26</v>
      </c>
      <c r="H56" s="8">
        <f>VLOOKUP($C56,'Finished goods'!$A$5:$Q$27,6,FALSE)</f>
        <v>1.6928511099999999E-4</v>
      </c>
      <c r="I56" s="9">
        <f>VLOOKUP($C56,'Finished goods'!$A$5:$Q$27,7,FALSE)</f>
        <v>0.47023641944444439</v>
      </c>
      <c r="J56" s="9">
        <f>VLOOKUP($C56,'Finished goods'!$A$5:$Q$27,8,FALSE)</f>
        <v>0.42321277749999997</v>
      </c>
      <c r="R56" s="23">
        <v>12</v>
      </c>
      <c r="S56" s="6">
        <f t="shared" ref="S56:S66" si="27">+G56*$R56</f>
        <v>312</v>
      </c>
      <c r="T56" s="6">
        <f t="shared" ref="T56:T66" si="28">+I56*$R56</f>
        <v>5.6428370333333326</v>
      </c>
      <c r="U56" s="4">
        <f t="shared" ref="U56:U66" si="29">+J56*$R56</f>
        <v>5.0785533300000001</v>
      </c>
      <c r="V56" s="16">
        <f>+S56*$M$3/'COST DATA'!$D$26</f>
        <v>2.6401809168342401</v>
      </c>
      <c r="W56" s="16">
        <f>+U56*$N$3</f>
        <v>3.4478298557370002E-2</v>
      </c>
      <c r="X56" s="27">
        <f>+S56*$O$3</f>
        <v>49.140000000000008</v>
      </c>
      <c r="Y56" s="4">
        <f>+S56*$P$3</f>
        <v>18.37065637065637</v>
      </c>
      <c r="Z56" s="4">
        <f>+(S56/$S$3)*('Finished goods'!$Q$3*$S$1)</f>
        <v>0.82856696817142861</v>
      </c>
      <c r="AA56" s="4">
        <f>+'Finished goods'!$O$3*'Project Orto'!T56</f>
        <v>0.65412496370559525</v>
      </c>
      <c r="AB56" s="4"/>
      <c r="AC56" s="7">
        <f>+V56+W56+X56+Y56+Z56+AA56+AB56</f>
        <v>71.668007517925005</v>
      </c>
    </row>
    <row r="57" spans="1:29" x14ac:dyDescent="0.3">
      <c r="A57" s="243"/>
      <c r="B57" s="21" t="s">
        <v>123</v>
      </c>
      <c r="C57" s="4" t="str">
        <f t="shared" ref="C57:C66" si="30">+C40</f>
        <v>Bicchiere curve twist</v>
      </c>
      <c r="D57" s="5">
        <f>VLOOKUP($C57,'Finished goods'!$A$5:$Q$27,2,FALSE)</f>
        <v>2</v>
      </c>
      <c r="E57" s="5">
        <f>VLOOKUP($C57,'Finished goods'!$A$5:$Q$27,3,FALSE)</f>
        <v>2</v>
      </c>
      <c r="F57" s="5">
        <f>VLOOKUP($C57,'Finished goods'!$A$5:$Q$27,4,FALSE)</f>
        <v>0.25</v>
      </c>
      <c r="G57" s="5">
        <f>VLOOKUP($C57,'Finished goods'!$A$5:$Q$27,5,FALSE)</f>
        <v>25</v>
      </c>
      <c r="H57" s="8">
        <f>VLOOKUP($C57,'Finished goods'!$A$5:$Q$27,6,FALSE)</f>
        <v>1.69285896E-4</v>
      </c>
      <c r="I57" s="9">
        <f>VLOOKUP($C57,'Finished goods'!$A$5:$Q$27,7,FALSE)</f>
        <v>0.47023859999999995</v>
      </c>
      <c r="J57" s="9">
        <f>VLOOKUP($C57,'Finished goods'!$A$5:$Q$27,8,FALSE)</f>
        <v>0.42321473999999998</v>
      </c>
      <c r="R57" s="23">
        <v>12</v>
      </c>
      <c r="S57" s="6">
        <f t="shared" si="27"/>
        <v>300</v>
      </c>
      <c r="T57" s="6">
        <f t="shared" si="28"/>
        <v>5.642863199999999</v>
      </c>
      <c r="U57" s="4">
        <f t="shared" si="29"/>
        <v>5.07857688</v>
      </c>
      <c r="V57" s="16">
        <f>+S57*$M$3/'COST DATA'!$D$26</f>
        <v>2.5386354969559997</v>
      </c>
      <c r="W57" s="16">
        <f t="shared" ref="W57:W66" si="31">+U57*$N$3</f>
        <v>3.4478458438320002E-2</v>
      </c>
      <c r="X57" s="27">
        <f t="shared" ref="X57:X66" si="32">+S57*$O$3</f>
        <v>47.250000000000007</v>
      </c>
      <c r="Y57" s="4">
        <f t="shared" ref="Y57:Y66" si="33">+S57*$P$3</f>
        <v>17.664092664092664</v>
      </c>
      <c r="Z57" s="4">
        <f>+(S57/$S$3)*('Finished goods'!$Q$3*$S$1)</f>
        <v>0.79669900785714287</v>
      </c>
      <c r="AA57" s="4">
        <f>+'Finished goods'!$O$3*'Project Orto'!T57</f>
        <v>0.65412799697942225</v>
      </c>
      <c r="AB57" s="4"/>
      <c r="AC57" s="7">
        <f t="shared" ref="AC57:AC66" si="34">+V57+W57+X57+Y57+Z57+AA57+AB57</f>
        <v>68.938033624323552</v>
      </c>
    </row>
    <row r="58" spans="1:29" x14ac:dyDescent="0.3">
      <c r="A58" s="243"/>
      <c r="B58" s="21" t="s">
        <v>123</v>
      </c>
      <c r="C58" s="4" t="str">
        <f t="shared" si="30"/>
        <v>Caraffa curva</v>
      </c>
      <c r="D58" s="5">
        <f>VLOOKUP($C58,'Finished goods'!$A$5:$Q$27,2,FALSE)</f>
        <v>2</v>
      </c>
      <c r="E58" s="5">
        <f>VLOOKUP($C58,'Finished goods'!$A$5:$Q$27,3,FALSE)</f>
        <v>2</v>
      </c>
      <c r="F58" s="5">
        <f>VLOOKUP($C58,'Finished goods'!$A$5:$Q$27,4,FALSE)</f>
        <v>0.56999999999999995</v>
      </c>
      <c r="G58" s="5">
        <f>VLOOKUP($C58,'Finished goods'!$A$5:$Q$27,5,FALSE)</f>
        <v>57</v>
      </c>
      <c r="H58" s="8">
        <f>VLOOKUP($C58,'Finished goods'!$A$5:$Q$27,6,FALSE)</f>
        <v>3.69342133E-4</v>
      </c>
      <c r="I58" s="9">
        <f>VLOOKUP($C58,'Finished goods'!$A$5:$Q$27,7,FALSE)</f>
        <v>1.0259503694444445</v>
      </c>
      <c r="J58" s="9">
        <f>VLOOKUP($C58,'Finished goods'!$A$5:$Q$27,8,FALSE)</f>
        <v>0.92335533250000001</v>
      </c>
      <c r="R58" s="23">
        <v>2</v>
      </c>
      <c r="S58" s="6">
        <f t="shared" si="27"/>
        <v>114</v>
      </c>
      <c r="T58" s="6">
        <f t="shared" si="28"/>
        <v>2.051900738888889</v>
      </c>
      <c r="U58" s="4">
        <f t="shared" si="29"/>
        <v>1.846710665</v>
      </c>
      <c r="V58" s="16">
        <f>+S58*$M$3/'COST DATA'!$D$26</f>
        <v>0.96468148884327987</v>
      </c>
      <c r="W58" s="16">
        <f t="shared" si="31"/>
        <v>1.2537318704685E-2</v>
      </c>
      <c r="X58" s="27">
        <f t="shared" si="32"/>
        <v>17.955000000000002</v>
      </c>
      <c r="Y58" s="4">
        <f t="shared" si="33"/>
        <v>6.7123552123552122</v>
      </c>
      <c r="Z58" s="4">
        <f>+(S58/$S$3)*('Finished goods'!$Q$3*$S$1)</f>
        <v>0.30274562298571428</v>
      </c>
      <c r="AA58" s="4">
        <f>+'Finished goods'!$O$3*'Project Orto'!T58</f>
        <v>0.23785898625541477</v>
      </c>
      <c r="AB58" s="4"/>
      <c r="AC58" s="7">
        <f t="shared" si="34"/>
        <v>26.185178629144307</v>
      </c>
    </row>
    <row r="59" spans="1:29" x14ac:dyDescent="0.3">
      <c r="A59" s="243"/>
      <c r="B59" s="21" t="s">
        <v>123</v>
      </c>
      <c r="C59" s="4" t="str">
        <f t="shared" si="30"/>
        <v>Caraffa colonna dritta</v>
      </c>
      <c r="D59" s="5">
        <f>VLOOKUP($C59,'Finished goods'!$A$5:$Q$27,2,FALSE)</f>
        <v>2</v>
      </c>
      <c r="E59" s="5">
        <f>VLOOKUP($C59,'Finished goods'!$A$5:$Q$27,3,FALSE)</f>
        <v>1</v>
      </c>
      <c r="F59" s="5">
        <f>VLOOKUP($C59,'Finished goods'!$A$5:$Q$27,4,FALSE)</f>
        <v>1.4</v>
      </c>
      <c r="G59" s="5">
        <f>VLOOKUP($C59,'Finished goods'!$A$5:$Q$27,5,FALSE)</f>
        <v>100</v>
      </c>
      <c r="H59" s="8">
        <f>VLOOKUP($C59,'Finished goods'!$A$5:$Q$27,6,FALSE)</f>
        <v>3.2796365999999998E-4</v>
      </c>
      <c r="I59" s="9">
        <f>VLOOKUP($C59,'Finished goods'!$A$5:$Q$27,7,FALSE)</f>
        <v>0.91101016666666657</v>
      </c>
      <c r="J59" s="9">
        <f>VLOOKUP($C59,'Finished goods'!$A$5:$Q$27,8,FALSE)</f>
        <v>0.81990914999999998</v>
      </c>
      <c r="R59" s="23">
        <v>2</v>
      </c>
      <c r="S59" s="6">
        <f t="shared" si="27"/>
        <v>200</v>
      </c>
      <c r="T59" s="6">
        <f t="shared" si="28"/>
        <v>1.8220203333333331</v>
      </c>
      <c r="U59" s="4">
        <f t="shared" si="29"/>
        <v>1.6398183</v>
      </c>
      <c r="V59" s="16">
        <f>+S59*$M$3/'COST DATA'!$D$26</f>
        <v>1.6924236646373332</v>
      </c>
      <c r="W59" s="16">
        <f t="shared" si="31"/>
        <v>1.1132726438699999E-2</v>
      </c>
      <c r="X59" s="27">
        <f t="shared" si="32"/>
        <v>31.500000000000007</v>
      </c>
      <c r="Y59" s="4">
        <f t="shared" si="33"/>
        <v>11.776061776061777</v>
      </c>
      <c r="Z59" s="4">
        <f>+(S59/$S$3)*('Finished goods'!$Q$3*$S$1)</f>
        <v>0.53113267190476188</v>
      </c>
      <c r="AA59" s="4">
        <f>+'Finished goods'!$O$3*'Project Orto'!T59</f>
        <v>0.21121095246454188</v>
      </c>
      <c r="AB59" s="4"/>
      <c r="AC59" s="7">
        <f t="shared" si="34"/>
        <v>45.72196179150712</v>
      </c>
    </row>
    <row r="60" spans="1:29" x14ac:dyDescent="0.3">
      <c r="A60" s="243"/>
      <c r="B60" s="21" t="s">
        <v>123</v>
      </c>
      <c r="C60" s="4" t="str">
        <f t="shared" si="30"/>
        <v>Caraffa colonna twist1</v>
      </c>
      <c r="D60" s="5">
        <f>VLOOKUP($C60,'Finished goods'!$A$5:$Q$27,2,FALSE)</f>
        <v>2</v>
      </c>
      <c r="E60" s="5">
        <f>VLOOKUP($C60,'Finished goods'!$A$5:$Q$27,3,FALSE)</f>
        <v>1</v>
      </c>
      <c r="F60" s="5">
        <f>VLOOKUP($C60,'Finished goods'!$A$5:$Q$27,4,FALSE)</f>
        <v>1.41</v>
      </c>
      <c r="G60" s="5">
        <f>VLOOKUP($C60,'Finished goods'!$A$5:$Q$27,5,FALSE)</f>
        <v>101</v>
      </c>
      <c r="H60" s="8">
        <f>VLOOKUP($C60,'Finished goods'!$A$5:$Q$27,6,FALSE)</f>
        <v>3.323221E-4</v>
      </c>
      <c r="I60" s="9">
        <f>VLOOKUP($C60,'Finished goods'!$A$5:$Q$27,7,FALSE)</f>
        <v>0.92311694444444448</v>
      </c>
      <c r="J60" s="9">
        <f>VLOOKUP($C60,'Finished goods'!$A$5:$Q$27,8,FALSE)</f>
        <v>0.83080525000000005</v>
      </c>
      <c r="R60" s="23">
        <v>2</v>
      </c>
      <c r="S60" s="6">
        <f t="shared" si="27"/>
        <v>202</v>
      </c>
      <c r="T60" s="6">
        <f t="shared" si="28"/>
        <v>1.846233888888889</v>
      </c>
      <c r="U60" s="4">
        <f t="shared" si="29"/>
        <v>1.6616105000000001</v>
      </c>
      <c r="V60" s="16">
        <f>+S60*$M$3/'COST DATA'!$D$26</f>
        <v>1.7093479012837065</v>
      </c>
      <c r="W60" s="16">
        <f t="shared" si="31"/>
        <v>1.12806736845E-2</v>
      </c>
      <c r="X60" s="27">
        <f t="shared" si="32"/>
        <v>31.815000000000005</v>
      </c>
      <c r="Y60" s="4">
        <f t="shared" si="33"/>
        <v>11.893822393822393</v>
      </c>
      <c r="Z60" s="4">
        <f>+(S60/$S$3)*('Finished goods'!$Q$3*$S$1)</f>
        <v>0.53644399862380954</v>
      </c>
      <c r="AA60" s="4">
        <f>+'Finished goods'!$O$3*'Project Orto'!T60</f>
        <v>0.21401781912671894</v>
      </c>
      <c r="AB60" s="4"/>
      <c r="AC60" s="7">
        <f t="shared" si="34"/>
        <v>46.179912786541131</v>
      </c>
    </row>
    <row r="61" spans="1:29" x14ac:dyDescent="0.3">
      <c r="A61" s="243"/>
      <c r="B61" s="21" t="s">
        <v>123</v>
      </c>
      <c r="C61" s="4" t="str">
        <f t="shared" si="30"/>
        <v>Caraffa colonna twist2</v>
      </c>
      <c r="D61" s="5">
        <f>VLOOKUP($C61,'Finished goods'!$A$5:$Q$27,2,FALSE)</f>
        <v>2</v>
      </c>
      <c r="E61" s="5">
        <f>VLOOKUP($C61,'Finished goods'!$A$5:$Q$27,3,FALSE)</f>
        <v>1</v>
      </c>
      <c r="F61" s="5">
        <f>VLOOKUP($C61,'Finished goods'!$A$5:$Q$27,4,FALSE)</f>
        <v>1.45</v>
      </c>
      <c r="G61" s="5">
        <f>VLOOKUP($C61,'Finished goods'!$A$5:$Q$27,5,FALSE)</f>
        <v>105</v>
      </c>
      <c r="H61" s="8">
        <f>VLOOKUP($C61,'Finished goods'!$A$5:$Q$27,6,FALSE)</f>
        <v>3.4271101000000001E-4</v>
      </c>
      <c r="I61" s="9">
        <f>VLOOKUP($C61,'Finished goods'!$A$5:$Q$27,7,FALSE)</f>
        <v>0.95197502777777776</v>
      </c>
      <c r="J61" s="9">
        <f>VLOOKUP($C61,'Finished goods'!$A$5:$Q$27,8,FALSE)</f>
        <v>0.85677752500000004</v>
      </c>
      <c r="R61" s="23">
        <v>2</v>
      </c>
      <c r="S61" s="6">
        <f t="shared" si="27"/>
        <v>210</v>
      </c>
      <c r="T61" s="6">
        <f t="shared" si="28"/>
        <v>1.9039500555555555</v>
      </c>
      <c r="U61" s="4">
        <f t="shared" si="29"/>
        <v>1.7135550500000001</v>
      </c>
      <c r="V61" s="16">
        <f>+S61*$M$3/'COST DATA'!$D$26</f>
        <v>1.7770448478691998</v>
      </c>
      <c r="W61" s="16">
        <f t="shared" si="31"/>
        <v>1.1633325234450001E-2</v>
      </c>
      <c r="X61" s="27">
        <f t="shared" si="32"/>
        <v>33.075000000000003</v>
      </c>
      <c r="Y61" s="4">
        <f t="shared" si="33"/>
        <v>12.364864864864865</v>
      </c>
      <c r="Z61" s="4">
        <f>+(S61/$S$3)*('Finished goods'!$Q$3*$S$1)</f>
        <v>0.55768930550000007</v>
      </c>
      <c r="AA61" s="4">
        <f>+'Finished goods'!$O$3*'Project Orto'!T61</f>
        <v>0.22070835177953907</v>
      </c>
      <c r="AB61" s="4"/>
      <c r="AC61" s="7">
        <f t="shared" si="34"/>
        <v>48.006940695248055</v>
      </c>
    </row>
    <row r="62" spans="1:29" x14ac:dyDescent="0.3">
      <c r="A62" s="243"/>
      <c r="B62" s="21" t="s">
        <v>123</v>
      </c>
      <c r="C62" s="4" t="str">
        <f t="shared" si="30"/>
        <v>Caraffa colonna twist3</v>
      </c>
      <c r="D62" s="5">
        <f>VLOOKUP($C62,'Finished goods'!$A$5:$Q$27,2,FALSE)</f>
        <v>2</v>
      </c>
      <c r="E62" s="5">
        <f>VLOOKUP($C62,'Finished goods'!$A$5:$Q$27,3,FALSE)</f>
        <v>1</v>
      </c>
      <c r="F62" s="5">
        <f>VLOOKUP($C62,'Finished goods'!$A$5:$Q$27,4,FALSE)</f>
        <v>1.42</v>
      </c>
      <c r="G62" s="5">
        <f>VLOOKUP($C62,'Finished goods'!$A$5:$Q$27,5,FALSE)</f>
        <v>102</v>
      </c>
      <c r="H62" s="8">
        <f>VLOOKUP($C62,'Finished goods'!$A$5:$Q$27,6,FALSE)</f>
        <v>3.3727121999999998E-4</v>
      </c>
      <c r="I62" s="9">
        <f>VLOOKUP($C62,'Finished goods'!$A$5:$Q$27,7,FALSE)</f>
        <v>0.93686449999999988</v>
      </c>
      <c r="J62" s="9">
        <f>VLOOKUP($C62,'Finished goods'!$A$5:$Q$27,8,FALSE)</f>
        <v>0.8431780499999999</v>
      </c>
      <c r="R62" s="23">
        <v>2</v>
      </c>
      <c r="S62" s="6">
        <f t="shared" si="27"/>
        <v>204</v>
      </c>
      <c r="T62" s="6">
        <f t="shared" si="28"/>
        <v>1.8737289999999998</v>
      </c>
      <c r="U62" s="4">
        <f t="shared" si="29"/>
        <v>1.6863560999999998</v>
      </c>
      <c r="V62" s="16">
        <f>+S62*$M$3/'COST DATA'!$D$26</f>
        <v>1.7262721379300801</v>
      </c>
      <c r="W62" s="16">
        <f t="shared" si="31"/>
        <v>1.1448671562899998E-2</v>
      </c>
      <c r="X62" s="27">
        <f t="shared" si="32"/>
        <v>32.130000000000003</v>
      </c>
      <c r="Y62" s="4">
        <f t="shared" si="33"/>
        <v>12.011583011583012</v>
      </c>
      <c r="Z62" s="4">
        <f>+(S62/$S$3)*('Finished goods'!$Q$3*$S$1)</f>
        <v>0.5417553253428572</v>
      </c>
      <c r="AA62" s="4">
        <f>+'Finished goods'!$O$3*'Project Orto'!T62</f>
        <v>0.21720508795114082</v>
      </c>
      <c r="AB62" s="4"/>
      <c r="AC62" s="7">
        <f t="shared" si="34"/>
        <v>46.638264234369991</v>
      </c>
    </row>
    <row r="63" spans="1:29" x14ac:dyDescent="0.3">
      <c r="A63" s="243"/>
      <c r="B63" s="21" t="s">
        <v>123</v>
      </c>
      <c r="C63" s="4" t="str">
        <f t="shared" si="30"/>
        <v>Bicchiere colonna twist1</v>
      </c>
      <c r="D63" s="5">
        <f>VLOOKUP($C63,'Finished goods'!$A$5:$Q$27,2,FALSE)</f>
        <v>1</v>
      </c>
      <c r="E63" s="5">
        <f>VLOOKUP($C63,'Finished goods'!$A$5:$Q$27,3,FALSE)</f>
        <v>1</v>
      </c>
      <c r="F63" s="5">
        <f>VLOOKUP($C63,'Finished goods'!$A$5:$Q$27,4,FALSE)</f>
        <v>0.57999999999999996</v>
      </c>
      <c r="G63" s="5">
        <f>VLOOKUP($C63,'Finished goods'!$A$5:$Q$27,5,FALSE)</f>
        <v>58</v>
      </c>
      <c r="H63" s="8">
        <f>VLOOKUP($C63,'Finished goods'!$A$5:$Q$27,6,FALSE)</f>
        <v>9.7981700000000004E-5</v>
      </c>
      <c r="I63" s="9">
        <f>VLOOKUP($C63,'Finished goods'!$A$5:$Q$27,7,FALSE)</f>
        <v>0.27217138888888892</v>
      </c>
      <c r="J63" s="9">
        <f>VLOOKUP($C63,'Finished goods'!$A$5:$Q$27,8,FALSE)</f>
        <v>0.24495425000000001</v>
      </c>
      <c r="R63" s="23">
        <v>12</v>
      </c>
      <c r="S63" s="6">
        <f t="shared" si="27"/>
        <v>696</v>
      </c>
      <c r="T63" s="6">
        <f t="shared" si="28"/>
        <v>3.2660566666666671</v>
      </c>
      <c r="U63" s="4">
        <f t="shared" si="29"/>
        <v>2.939451</v>
      </c>
      <c r="V63" s="16">
        <f>+S63*$M$3/'COST DATA'!$D$26</f>
        <v>5.8896343529379198</v>
      </c>
      <c r="W63" s="16">
        <f t="shared" si="31"/>
        <v>1.9955932839000001E-2</v>
      </c>
      <c r="X63" s="27">
        <f t="shared" si="32"/>
        <v>109.62000000000002</v>
      </c>
      <c r="Y63" s="4">
        <f t="shared" si="33"/>
        <v>40.980694980694977</v>
      </c>
      <c r="Z63" s="4">
        <f>+(S63/$S$3)*('Finished goods'!$Q$3*$S$1)</f>
        <v>1.8483416982285714</v>
      </c>
      <c r="AA63" s="4">
        <f>+'Finished goods'!$O$3*'Project Orto'!T63</f>
        <v>0.37860551100865886</v>
      </c>
      <c r="AB63" s="4"/>
      <c r="AC63" s="7">
        <f t="shared" si="34"/>
        <v>158.73723247570913</v>
      </c>
    </row>
    <row r="64" spans="1:29" x14ac:dyDescent="0.3">
      <c r="A64" s="243"/>
      <c r="B64" s="21" t="s">
        <v>123</v>
      </c>
      <c r="C64" s="4" t="str">
        <f t="shared" si="30"/>
        <v>Bicchiere colonna twist2</v>
      </c>
      <c r="D64" s="5">
        <f>VLOOKUP($C64,'Finished goods'!$A$5:$Q$27,2,FALSE)</f>
        <v>1</v>
      </c>
      <c r="E64" s="5">
        <f>VLOOKUP($C64,'Finished goods'!$A$5:$Q$27,3,FALSE)</f>
        <v>1</v>
      </c>
      <c r="F64" s="5">
        <f>VLOOKUP($C64,'Finished goods'!$A$5:$Q$27,4,FALSE)</f>
        <v>0.59</v>
      </c>
      <c r="G64" s="5">
        <f>VLOOKUP($C64,'Finished goods'!$A$5:$Q$27,5,FALSE)</f>
        <v>59</v>
      </c>
      <c r="H64" s="8">
        <f>VLOOKUP($C64,'Finished goods'!$A$5:$Q$27,6,FALSE)</f>
        <v>9.7982366999999995E-5</v>
      </c>
      <c r="I64" s="9">
        <f>VLOOKUP($C64,'Finished goods'!$A$5:$Q$27,7,FALSE)</f>
        <v>0.27217324166666662</v>
      </c>
      <c r="J64" s="9">
        <f>VLOOKUP($C64,'Finished goods'!$A$5:$Q$27,8,FALSE)</f>
        <v>0.24495591749999998</v>
      </c>
      <c r="R64" s="23">
        <v>12</v>
      </c>
      <c r="S64" s="6">
        <f t="shared" si="27"/>
        <v>708</v>
      </c>
      <c r="T64" s="6">
        <f t="shared" si="28"/>
        <v>3.2660788999999992</v>
      </c>
      <c r="U64" s="4">
        <f t="shared" si="29"/>
        <v>2.9394710099999997</v>
      </c>
      <c r="V64" s="16">
        <f>+S64*$M$3/'COST DATA'!$D$26</f>
        <v>5.9911797728161593</v>
      </c>
      <c r="W64" s="16">
        <f t="shared" si="31"/>
        <v>1.9956068686889997E-2</v>
      </c>
      <c r="X64" s="27">
        <f t="shared" si="32"/>
        <v>111.51000000000002</v>
      </c>
      <c r="Y64" s="4">
        <f t="shared" si="33"/>
        <v>41.687258687258691</v>
      </c>
      <c r="Z64" s="4">
        <f>+(S64/$S$3)*('Finished goods'!$Q$3*$S$1)</f>
        <v>1.8802096585428572</v>
      </c>
      <c r="AA64" s="4">
        <f>+'Finished goods'!$O$3*'Project Orto'!T64</f>
        <v>0.37860808832540094</v>
      </c>
      <c r="AB64" s="4"/>
      <c r="AC64" s="7">
        <f t="shared" si="34"/>
        <v>161.46721227563</v>
      </c>
    </row>
    <row r="65" spans="1:29" x14ac:dyDescent="0.3">
      <c r="A65" s="243"/>
      <c r="B65" s="21" t="s">
        <v>123</v>
      </c>
      <c r="C65" s="4" t="str">
        <f t="shared" si="30"/>
        <v>Bicchiere colonna twist3</v>
      </c>
      <c r="D65" s="5">
        <f>VLOOKUP($C65,'Finished goods'!$A$5:$Q$27,2,FALSE)</f>
        <v>1</v>
      </c>
      <c r="E65" s="5">
        <f>VLOOKUP($C65,'Finished goods'!$A$5:$Q$27,3,FALSE)</f>
        <v>1</v>
      </c>
      <c r="F65" s="5">
        <f>VLOOKUP($C65,'Finished goods'!$A$5:$Q$27,4,FALSE)</f>
        <v>0.59</v>
      </c>
      <c r="G65" s="5">
        <f>VLOOKUP($C65,'Finished goods'!$A$5:$Q$27,5,FALSE)</f>
        <v>59</v>
      </c>
      <c r="H65" s="8">
        <f>VLOOKUP($C65,'Finished goods'!$A$5:$Q$27,6,FALSE)</f>
        <v>9.7984652999999995E-5</v>
      </c>
      <c r="I65" s="9">
        <f>VLOOKUP($C65,'Finished goods'!$A$5:$Q$27,7,FALSE)</f>
        <v>0.27217959166666666</v>
      </c>
      <c r="J65" s="9">
        <f>VLOOKUP($C65,'Finished goods'!$A$5:$Q$27,8,FALSE)</f>
        <v>0.2449616325</v>
      </c>
      <c r="R65" s="23">
        <v>12</v>
      </c>
      <c r="S65" s="6">
        <f t="shared" si="27"/>
        <v>708</v>
      </c>
      <c r="T65" s="6">
        <f t="shared" si="28"/>
        <v>3.2661550999999998</v>
      </c>
      <c r="U65" s="4">
        <f t="shared" si="29"/>
        <v>2.9395395899999999</v>
      </c>
      <c r="V65" s="16">
        <f>+S65*$M$3/'COST DATA'!$D$26</f>
        <v>5.9911797728161593</v>
      </c>
      <c r="W65" s="16">
        <f t="shared" si="31"/>
        <v>1.995653427651E-2</v>
      </c>
      <c r="X65" s="27">
        <f t="shared" si="32"/>
        <v>111.51000000000002</v>
      </c>
      <c r="Y65" s="4">
        <f t="shared" si="33"/>
        <v>41.687258687258691</v>
      </c>
      <c r="Z65" s="4">
        <f>+(S65/$S$3)*('Finished goods'!$Q$3*$S$1)</f>
        <v>1.8802096585428572</v>
      </c>
      <c r="AA65" s="4">
        <f>+'Finished goods'!$O$3*'Project Orto'!T65</f>
        <v>0.37861692152790888</v>
      </c>
      <c r="AB65" s="4"/>
      <c r="AC65" s="7">
        <f t="shared" si="34"/>
        <v>161.46722157442215</v>
      </c>
    </row>
    <row r="66" spans="1:29" x14ac:dyDescent="0.3">
      <c r="A66" s="244"/>
      <c r="B66" s="21" t="s">
        <v>123</v>
      </c>
      <c r="C66" s="4" t="str">
        <f t="shared" si="30"/>
        <v>Bicchiere colonna twist alto</v>
      </c>
      <c r="D66" s="5">
        <f>VLOOKUP($C66,'Finished goods'!$A$5:$Q$27,2,FALSE)</f>
        <v>1</v>
      </c>
      <c r="E66" s="5">
        <f>VLOOKUP($C66,'Finished goods'!$A$5:$Q$27,3,FALSE)</f>
        <v>1</v>
      </c>
      <c r="F66" s="5">
        <f>VLOOKUP($C66,'Finished goods'!$A$5:$Q$27,4,FALSE)</f>
        <v>0.57999999999999996</v>
      </c>
      <c r="G66" s="5">
        <f>VLOOKUP($C66,'Finished goods'!$A$5:$Q$27,5,FALSE)</f>
        <v>58</v>
      </c>
      <c r="H66" s="8">
        <f>VLOOKUP($C66,'Finished goods'!$A$5:$Q$27,6,FALSE)</f>
        <v>9.4065272999999995E-5</v>
      </c>
      <c r="I66" s="9">
        <f>VLOOKUP($C66,'Finished goods'!$A$5:$Q$27,7,FALSE)</f>
        <v>0.26129242499999999</v>
      </c>
      <c r="J66" s="9">
        <f>VLOOKUP($C66,'Finished goods'!$A$5:$Q$27,8,FALSE)</f>
        <v>0.23516318249999998</v>
      </c>
      <c r="R66" s="23">
        <v>12</v>
      </c>
      <c r="S66" s="6">
        <f t="shared" si="27"/>
        <v>696</v>
      </c>
      <c r="T66" s="6">
        <f t="shared" si="28"/>
        <v>3.1355091000000002</v>
      </c>
      <c r="U66" s="4">
        <f t="shared" si="29"/>
        <v>2.8219581899999997</v>
      </c>
      <c r="V66" s="16">
        <f>+S66*$M$3/'COST DATA'!$D$26</f>
        <v>5.8896343529379198</v>
      </c>
      <c r="W66" s="16">
        <f t="shared" si="31"/>
        <v>1.9158274151909998E-2</v>
      </c>
      <c r="X66" s="27">
        <f t="shared" si="32"/>
        <v>109.62000000000002</v>
      </c>
      <c r="Y66" s="4">
        <f t="shared" si="33"/>
        <v>40.980694980694977</v>
      </c>
      <c r="Z66" s="4">
        <f>+(S66/$S$3)*('Finished goods'!$Q$3*$S$1)</f>
        <v>1.8483416982285714</v>
      </c>
      <c r="AA66" s="4">
        <f>+'Finished goods'!$O$3*'Project Orto'!T66</f>
        <v>0.36347226831473628</v>
      </c>
      <c r="AB66" s="4"/>
      <c r="AC66" s="7">
        <f t="shared" si="34"/>
        <v>158.72130157432812</v>
      </c>
    </row>
    <row r="69" spans="1:29" ht="18" x14ac:dyDescent="0.35">
      <c r="D69" s="237" t="s">
        <v>40</v>
      </c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4" t="s">
        <v>32</v>
      </c>
      <c r="S69" s="47">
        <f>+S71/60/7</f>
        <v>10.357142857142858</v>
      </c>
      <c r="T69" t="s">
        <v>83</v>
      </c>
    </row>
    <row r="70" spans="1:29" x14ac:dyDescent="0.3">
      <c r="D70" s="236" t="s">
        <v>33</v>
      </c>
      <c r="E70" s="236"/>
      <c r="F70" s="236"/>
      <c r="G70" s="236"/>
      <c r="H70" s="236"/>
      <c r="I70" s="236"/>
      <c r="J70" s="236"/>
      <c r="M70" s="236" t="s">
        <v>36</v>
      </c>
      <c r="N70" s="236"/>
      <c r="O70" s="236"/>
      <c r="P70" s="236"/>
      <c r="Q70" s="236"/>
      <c r="V70" s="241" t="s">
        <v>41</v>
      </c>
      <c r="W70" s="241"/>
      <c r="X70" s="241"/>
      <c r="Y70" s="241"/>
      <c r="Z70" s="241"/>
      <c r="AA70" s="241"/>
      <c r="AB70" s="241"/>
      <c r="AC70" s="241"/>
    </row>
    <row r="71" spans="1:29" ht="18" x14ac:dyDescent="0.35">
      <c r="F71" s="225" t="s">
        <v>44</v>
      </c>
      <c r="G71" s="225"/>
      <c r="I71" s="20">
        <f>SUBTOTAL(9,I73:I83)</f>
        <v>6.7672086749999991</v>
      </c>
      <c r="J71" s="20">
        <f>SUBTOTAL(9,J73:J83)</f>
        <v>6.0904878074999997</v>
      </c>
      <c r="K71" s="1">
        <f>+'Finished goods'!$I$3</f>
        <v>2500</v>
      </c>
      <c r="L71" s="1">
        <f>+'Finished goods'!$J$3</f>
        <v>0.9</v>
      </c>
      <c r="M71" s="15">
        <f>+'Finished goods'!$K$3</f>
        <v>0.50772709939119998</v>
      </c>
      <c r="N71" s="15">
        <f>+'Finished goods'!$L$3</f>
        <v>6.7889999999999999E-3</v>
      </c>
      <c r="O71" s="13">
        <f>+'Finished goods'!$M$3</f>
        <v>0.15750000000000003</v>
      </c>
      <c r="P71" s="46">
        <f>+'Finished goods'!$N$3</f>
        <v>5.8880308880308881E-2</v>
      </c>
      <c r="Q71" s="1"/>
      <c r="S71" s="17">
        <f t="shared" ref="S71:AC71" si="35">SUBTOTAL(9,S73:S83)</f>
        <v>4350</v>
      </c>
      <c r="T71" s="17">
        <f t="shared" si="35"/>
        <v>33.717334016666669</v>
      </c>
      <c r="U71" s="17">
        <f t="shared" si="35"/>
        <v>30.345600615000002</v>
      </c>
      <c r="V71" s="18">
        <f t="shared" si="35"/>
        <v>36.810214705862002</v>
      </c>
      <c r="W71" s="18">
        <f t="shared" si="35"/>
        <v>0.20601628257523499</v>
      </c>
      <c r="X71" s="18">
        <f t="shared" si="35"/>
        <v>685.125</v>
      </c>
      <c r="Y71" s="18">
        <f t="shared" si="35"/>
        <v>256.12934362934362</v>
      </c>
      <c r="Z71" s="18">
        <f t="shared" si="35"/>
        <v>11.552135613928572</v>
      </c>
      <c r="AA71" s="18">
        <f t="shared" si="35"/>
        <v>3.9085569474390782</v>
      </c>
      <c r="AB71" s="18">
        <f t="shared" si="35"/>
        <v>0</v>
      </c>
      <c r="AC71" s="19">
        <f t="shared" si="35"/>
        <v>993.73126717914852</v>
      </c>
    </row>
    <row r="72" spans="1:29" x14ac:dyDescent="0.3">
      <c r="A72" s="1" t="s">
        <v>145</v>
      </c>
      <c r="B72" s="1" t="s">
        <v>30</v>
      </c>
      <c r="C72" s="1" t="s">
        <v>0</v>
      </c>
      <c r="D72" s="1" t="s">
        <v>4</v>
      </c>
      <c r="E72" s="1" t="s">
        <v>5</v>
      </c>
      <c r="F72" s="1" t="s">
        <v>45</v>
      </c>
      <c r="G72" s="1" t="s">
        <v>57</v>
      </c>
      <c r="H72" s="1" t="s">
        <v>6</v>
      </c>
      <c r="I72" s="1" t="s">
        <v>2</v>
      </c>
      <c r="J72" s="1" t="s">
        <v>7</v>
      </c>
      <c r="K72" s="1" t="s">
        <v>31</v>
      </c>
      <c r="L72" s="1" t="s">
        <v>8</v>
      </c>
      <c r="M72" s="1" t="s">
        <v>34</v>
      </c>
      <c r="N72" s="1" t="s">
        <v>35</v>
      </c>
      <c r="O72" s="1" t="s">
        <v>37</v>
      </c>
      <c r="P72" s="1" t="s">
        <v>79</v>
      </c>
      <c r="Q72" s="1" t="s">
        <v>38</v>
      </c>
      <c r="R72" s="1" t="s">
        <v>39</v>
      </c>
      <c r="S72" s="2" t="s">
        <v>43</v>
      </c>
      <c r="T72" s="2" t="s">
        <v>2</v>
      </c>
      <c r="U72" s="2" t="s">
        <v>7</v>
      </c>
      <c r="V72" s="2">
        <f>+'Finished goods'!K72</f>
        <v>0</v>
      </c>
      <c r="W72" s="2">
        <f>+'Finished goods'!L72</f>
        <v>0</v>
      </c>
      <c r="X72" s="2">
        <f>+'Finished goods'!M72</f>
        <v>0</v>
      </c>
      <c r="Y72" s="2">
        <f>+'Finished goods'!N72</f>
        <v>0</v>
      </c>
      <c r="Z72" s="2">
        <f>+'Finished goods'!Q72</f>
        <v>0</v>
      </c>
      <c r="AA72" s="3" t="s">
        <v>111</v>
      </c>
      <c r="AB72" s="3" t="s">
        <v>115</v>
      </c>
      <c r="AC72" s="3" t="s">
        <v>42</v>
      </c>
    </row>
    <row r="73" spans="1:29" ht="14.4" customHeight="1" x14ac:dyDescent="0.3">
      <c r="A73" s="242" t="s">
        <v>415</v>
      </c>
      <c r="B73" s="21" t="s">
        <v>123</v>
      </c>
      <c r="C73" s="4" t="str">
        <f>+C5</f>
        <v>Bicchiere curve dritto</v>
      </c>
      <c r="D73" s="5">
        <f>VLOOKUP($C73,'Finished goods'!$A$5:$Q$27,2,FALSE)</f>
        <v>2</v>
      </c>
      <c r="E73" s="5">
        <f>VLOOKUP($C73,'Finished goods'!$A$5:$Q$27,3,FALSE)</f>
        <v>2</v>
      </c>
      <c r="F73" s="5">
        <f>VLOOKUP($C73,'Finished goods'!$A$5:$Q$27,4,FALSE)</f>
        <v>0.26</v>
      </c>
      <c r="G73" s="5">
        <f>VLOOKUP($C73,'Finished goods'!$A$5:$Q$27,5,FALSE)</f>
        <v>26</v>
      </c>
      <c r="H73" s="8">
        <f>VLOOKUP($C73,'Finished goods'!$A$5:$Q$27,6,FALSE)</f>
        <v>1.6928511099999999E-4</v>
      </c>
      <c r="I73" s="9">
        <f>VLOOKUP($C73,'Finished goods'!$A$5:$Q$27,7,FALSE)</f>
        <v>0.47023641944444439</v>
      </c>
      <c r="J73" s="9">
        <f>VLOOKUP($C73,'Finished goods'!$A$5:$Q$27,8,FALSE)</f>
        <v>0.42321277749999997</v>
      </c>
      <c r="R73" s="23">
        <v>12</v>
      </c>
      <c r="S73" s="6">
        <f t="shared" ref="S73:S83" si="36">+G73*$R73</f>
        <v>312</v>
      </c>
      <c r="T73" s="6">
        <f t="shared" ref="T73:T83" si="37">+I73*$R73</f>
        <v>5.6428370333333326</v>
      </c>
      <c r="U73" s="4">
        <f t="shared" ref="U73:U83" si="38">+J73*$R73</f>
        <v>5.0785533300000001</v>
      </c>
      <c r="V73" s="16">
        <f>+S73*$M$3/'COST DATA'!$D$26</f>
        <v>2.6401809168342401</v>
      </c>
      <c r="W73" s="16">
        <f>+U73*$N$3</f>
        <v>3.4478298557370002E-2</v>
      </c>
      <c r="X73" s="27">
        <f>+S73*$O$3</f>
        <v>49.140000000000008</v>
      </c>
      <c r="Y73" s="4">
        <f>+S73*$P$3</f>
        <v>18.37065637065637</v>
      </c>
      <c r="Z73" s="4">
        <f>+(S73/$S$3)*('Finished goods'!$Q$3*$S$1)</f>
        <v>0.82856696817142861</v>
      </c>
      <c r="AA73" s="4">
        <f>+'Finished goods'!$O$3*'Project Orto'!T73</f>
        <v>0.65412496370559525</v>
      </c>
      <c r="AB73" s="4"/>
      <c r="AC73" s="7">
        <f>+V73+W73+X73+Y73+Z73+AA73+AB73</f>
        <v>71.668007517925005</v>
      </c>
    </row>
    <row r="74" spans="1:29" x14ac:dyDescent="0.3">
      <c r="A74" s="243"/>
      <c r="B74" s="21" t="s">
        <v>123</v>
      </c>
      <c r="C74" s="4" t="str">
        <f t="shared" ref="C74:C83" si="39">+C6</f>
        <v>Bicchiere curve twist</v>
      </c>
      <c r="D74" s="5">
        <f>VLOOKUP($C74,'Finished goods'!$A$5:$Q$27,2,FALSE)</f>
        <v>2</v>
      </c>
      <c r="E74" s="5">
        <f>VLOOKUP($C74,'Finished goods'!$A$5:$Q$27,3,FALSE)</f>
        <v>2</v>
      </c>
      <c r="F74" s="5">
        <f>VLOOKUP($C74,'Finished goods'!$A$5:$Q$27,4,FALSE)</f>
        <v>0.25</v>
      </c>
      <c r="G74" s="5">
        <f>VLOOKUP($C74,'Finished goods'!$A$5:$Q$27,5,FALSE)</f>
        <v>25</v>
      </c>
      <c r="H74" s="8">
        <f>VLOOKUP($C74,'Finished goods'!$A$5:$Q$27,6,FALSE)</f>
        <v>1.69285896E-4</v>
      </c>
      <c r="I74" s="9">
        <f>VLOOKUP($C74,'Finished goods'!$A$5:$Q$27,7,FALSE)</f>
        <v>0.47023859999999995</v>
      </c>
      <c r="J74" s="9">
        <f>VLOOKUP($C74,'Finished goods'!$A$5:$Q$27,8,FALSE)</f>
        <v>0.42321473999999998</v>
      </c>
      <c r="R74" s="23">
        <v>12</v>
      </c>
      <c r="S74" s="6">
        <f t="shared" si="36"/>
        <v>300</v>
      </c>
      <c r="T74" s="6">
        <f t="shared" si="37"/>
        <v>5.642863199999999</v>
      </c>
      <c r="U74" s="4">
        <f t="shared" si="38"/>
        <v>5.07857688</v>
      </c>
      <c r="V74" s="16">
        <f>+S74*$M$3/'COST DATA'!$D$26</f>
        <v>2.5386354969559997</v>
      </c>
      <c r="W74" s="16">
        <f t="shared" ref="W74:W83" si="40">+U74*$N$3</f>
        <v>3.4478458438320002E-2</v>
      </c>
      <c r="X74" s="27">
        <f t="shared" ref="X74:X83" si="41">+S74*$O$3</f>
        <v>47.250000000000007</v>
      </c>
      <c r="Y74" s="4">
        <f t="shared" ref="Y74:Y83" si="42">+S74*$P$3</f>
        <v>17.664092664092664</v>
      </c>
      <c r="Z74" s="4">
        <f>+(S74/$S$3)*('Finished goods'!$Q$3*$S$1)</f>
        <v>0.79669900785714287</v>
      </c>
      <c r="AA74" s="4">
        <f>+'Finished goods'!$O$3*'Project Orto'!T74</f>
        <v>0.65412799697942225</v>
      </c>
      <c r="AB74" s="4"/>
      <c r="AC74" s="7">
        <f t="shared" ref="AC74:AC83" si="43">+V74+W74+X74+Y74+Z74+AA74+AB74</f>
        <v>68.938033624323552</v>
      </c>
    </row>
    <row r="75" spans="1:29" x14ac:dyDescent="0.3">
      <c r="A75" s="243"/>
      <c r="B75" s="21" t="s">
        <v>123</v>
      </c>
      <c r="C75" s="4" t="str">
        <f t="shared" si="39"/>
        <v>Caraffa curva</v>
      </c>
      <c r="D75" s="5">
        <f>VLOOKUP($C75,'Finished goods'!$A$5:$Q$27,2,FALSE)</f>
        <v>2</v>
      </c>
      <c r="E75" s="5">
        <f>VLOOKUP($C75,'Finished goods'!$A$5:$Q$27,3,FALSE)</f>
        <v>2</v>
      </c>
      <c r="F75" s="5">
        <f>VLOOKUP($C75,'Finished goods'!$A$5:$Q$27,4,FALSE)</f>
        <v>0.56999999999999995</v>
      </c>
      <c r="G75" s="5">
        <f>VLOOKUP($C75,'Finished goods'!$A$5:$Q$27,5,FALSE)</f>
        <v>57</v>
      </c>
      <c r="H75" s="8">
        <f>VLOOKUP($C75,'Finished goods'!$A$5:$Q$27,6,FALSE)</f>
        <v>3.69342133E-4</v>
      </c>
      <c r="I75" s="9">
        <f>VLOOKUP($C75,'Finished goods'!$A$5:$Q$27,7,FALSE)</f>
        <v>1.0259503694444445</v>
      </c>
      <c r="J75" s="9">
        <f>VLOOKUP($C75,'Finished goods'!$A$5:$Q$27,8,FALSE)</f>
        <v>0.92335533250000001</v>
      </c>
      <c r="R75" s="23">
        <v>2</v>
      </c>
      <c r="S75" s="6">
        <f t="shared" si="36"/>
        <v>114</v>
      </c>
      <c r="T75" s="6">
        <f t="shared" si="37"/>
        <v>2.051900738888889</v>
      </c>
      <c r="U75" s="4">
        <f t="shared" si="38"/>
        <v>1.846710665</v>
      </c>
      <c r="V75" s="16">
        <f>+S75*$M$3/'COST DATA'!$D$26</f>
        <v>0.96468148884327987</v>
      </c>
      <c r="W75" s="16">
        <f t="shared" si="40"/>
        <v>1.2537318704685E-2</v>
      </c>
      <c r="X75" s="27">
        <f t="shared" si="41"/>
        <v>17.955000000000002</v>
      </c>
      <c r="Y75" s="4">
        <f t="shared" si="42"/>
        <v>6.7123552123552122</v>
      </c>
      <c r="Z75" s="4">
        <f>+(S75/$S$3)*('Finished goods'!$Q$3*$S$1)</f>
        <v>0.30274562298571428</v>
      </c>
      <c r="AA75" s="4">
        <f>+'Finished goods'!$O$3*'Project Orto'!T75</f>
        <v>0.23785898625541477</v>
      </c>
      <c r="AB75" s="4"/>
      <c r="AC75" s="7">
        <f t="shared" si="43"/>
        <v>26.185178629144307</v>
      </c>
    </row>
    <row r="76" spans="1:29" x14ac:dyDescent="0.3">
      <c r="A76" s="243"/>
      <c r="B76" s="21" t="s">
        <v>123</v>
      </c>
      <c r="C76" s="4" t="str">
        <f t="shared" si="39"/>
        <v>Caraffa colonna dritta</v>
      </c>
      <c r="D76" s="5">
        <f>VLOOKUP($C76,'Finished goods'!$A$5:$Q$27,2,FALSE)</f>
        <v>2</v>
      </c>
      <c r="E76" s="5">
        <f>VLOOKUP($C76,'Finished goods'!$A$5:$Q$27,3,FALSE)</f>
        <v>1</v>
      </c>
      <c r="F76" s="5">
        <f>VLOOKUP($C76,'Finished goods'!$A$5:$Q$27,4,FALSE)</f>
        <v>1.4</v>
      </c>
      <c r="G76" s="5">
        <f>VLOOKUP($C76,'Finished goods'!$A$5:$Q$27,5,FALSE)</f>
        <v>100</v>
      </c>
      <c r="H76" s="8">
        <f>VLOOKUP($C76,'Finished goods'!$A$5:$Q$27,6,FALSE)</f>
        <v>3.2796365999999998E-4</v>
      </c>
      <c r="I76" s="9">
        <f>VLOOKUP($C76,'Finished goods'!$A$5:$Q$27,7,FALSE)</f>
        <v>0.91101016666666657</v>
      </c>
      <c r="J76" s="9">
        <f>VLOOKUP($C76,'Finished goods'!$A$5:$Q$27,8,FALSE)</f>
        <v>0.81990914999999998</v>
      </c>
      <c r="R76" s="23">
        <v>2</v>
      </c>
      <c r="S76" s="6">
        <f t="shared" si="36"/>
        <v>200</v>
      </c>
      <c r="T76" s="6">
        <f t="shared" si="37"/>
        <v>1.8220203333333331</v>
      </c>
      <c r="U76" s="4">
        <f t="shared" si="38"/>
        <v>1.6398183</v>
      </c>
      <c r="V76" s="16">
        <f>+S76*$M$3/'COST DATA'!$D$26</f>
        <v>1.6924236646373332</v>
      </c>
      <c r="W76" s="16">
        <f t="shared" si="40"/>
        <v>1.1132726438699999E-2</v>
      </c>
      <c r="X76" s="27">
        <f t="shared" si="41"/>
        <v>31.500000000000007</v>
      </c>
      <c r="Y76" s="4">
        <f t="shared" si="42"/>
        <v>11.776061776061777</v>
      </c>
      <c r="Z76" s="4">
        <f>+(S76/$S$3)*('Finished goods'!$Q$3*$S$1)</f>
        <v>0.53113267190476188</v>
      </c>
      <c r="AA76" s="4">
        <f>+'Finished goods'!$O$3*'Project Orto'!T76</f>
        <v>0.21121095246454188</v>
      </c>
      <c r="AB76" s="4"/>
      <c r="AC76" s="7">
        <f t="shared" si="43"/>
        <v>45.72196179150712</v>
      </c>
    </row>
    <row r="77" spans="1:29" x14ac:dyDescent="0.3">
      <c r="A77" s="243"/>
      <c r="B77" s="21" t="s">
        <v>123</v>
      </c>
      <c r="C77" s="4" t="str">
        <f t="shared" si="39"/>
        <v>Caraffa colonna twist1</v>
      </c>
      <c r="D77" s="5">
        <f>VLOOKUP($C77,'Finished goods'!$A$5:$Q$27,2,FALSE)</f>
        <v>2</v>
      </c>
      <c r="E77" s="5">
        <f>VLOOKUP($C77,'Finished goods'!$A$5:$Q$27,3,FALSE)</f>
        <v>1</v>
      </c>
      <c r="F77" s="5">
        <f>VLOOKUP($C77,'Finished goods'!$A$5:$Q$27,4,FALSE)</f>
        <v>1.41</v>
      </c>
      <c r="G77" s="5">
        <f>VLOOKUP($C77,'Finished goods'!$A$5:$Q$27,5,FALSE)</f>
        <v>101</v>
      </c>
      <c r="H77" s="8">
        <f>VLOOKUP($C77,'Finished goods'!$A$5:$Q$27,6,FALSE)</f>
        <v>3.323221E-4</v>
      </c>
      <c r="I77" s="9">
        <f>VLOOKUP($C77,'Finished goods'!$A$5:$Q$27,7,FALSE)</f>
        <v>0.92311694444444448</v>
      </c>
      <c r="J77" s="9">
        <f>VLOOKUP($C77,'Finished goods'!$A$5:$Q$27,8,FALSE)</f>
        <v>0.83080525000000005</v>
      </c>
      <c r="R77" s="23">
        <v>2</v>
      </c>
      <c r="S77" s="6">
        <f t="shared" si="36"/>
        <v>202</v>
      </c>
      <c r="T77" s="6">
        <f t="shared" si="37"/>
        <v>1.846233888888889</v>
      </c>
      <c r="U77" s="4">
        <f t="shared" si="38"/>
        <v>1.6616105000000001</v>
      </c>
      <c r="V77" s="16">
        <f>+S77*$M$3/'COST DATA'!$D$26</f>
        <v>1.7093479012837065</v>
      </c>
      <c r="W77" s="16">
        <f t="shared" si="40"/>
        <v>1.12806736845E-2</v>
      </c>
      <c r="X77" s="27">
        <f t="shared" si="41"/>
        <v>31.815000000000005</v>
      </c>
      <c r="Y77" s="4">
        <f t="shared" si="42"/>
        <v>11.893822393822393</v>
      </c>
      <c r="Z77" s="4">
        <f>+(S77/$S$3)*('Finished goods'!$Q$3*$S$1)</f>
        <v>0.53644399862380954</v>
      </c>
      <c r="AA77" s="4">
        <f>+'Finished goods'!$O$3*'Project Orto'!T77</f>
        <v>0.21401781912671894</v>
      </c>
      <c r="AB77" s="4"/>
      <c r="AC77" s="7">
        <f t="shared" si="43"/>
        <v>46.179912786541131</v>
      </c>
    </row>
    <row r="78" spans="1:29" x14ac:dyDescent="0.3">
      <c r="A78" s="243"/>
      <c r="B78" s="21" t="s">
        <v>123</v>
      </c>
      <c r="C78" s="4" t="str">
        <f t="shared" si="39"/>
        <v>Caraffa colonna twist2</v>
      </c>
      <c r="D78" s="5">
        <f>VLOOKUP($C78,'Finished goods'!$A$5:$Q$27,2,FALSE)</f>
        <v>2</v>
      </c>
      <c r="E78" s="5">
        <f>VLOOKUP($C78,'Finished goods'!$A$5:$Q$27,3,FALSE)</f>
        <v>1</v>
      </c>
      <c r="F78" s="5">
        <f>VLOOKUP($C78,'Finished goods'!$A$5:$Q$27,4,FALSE)</f>
        <v>1.45</v>
      </c>
      <c r="G78" s="5">
        <f>VLOOKUP($C78,'Finished goods'!$A$5:$Q$27,5,FALSE)</f>
        <v>105</v>
      </c>
      <c r="H78" s="8">
        <f>VLOOKUP($C78,'Finished goods'!$A$5:$Q$27,6,FALSE)</f>
        <v>3.4271101000000001E-4</v>
      </c>
      <c r="I78" s="9">
        <f>VLOOKUP($C78,'Finished goods'!$A$5:$Q$27,7,FALSE)</f>
        <v>0.95197502777777776</v>
      </c>
      <c r="J78" s="9">
        <f>VLOOKUP($C78,'Finished goods'!$A$5:$Q$27,8,FALSE)</f>
        <v>0.85677752500000004</v>
      </c>
      <c r="R78" s="23">
        <v>2</v>
      </c>
      <c r="S78" s="6">
        <f t="shared" si="36"/>
        <v>210</v>
      </c>
      <c r="T78" s="6">
        <f t="shared" si="37"/>
        <v>1.9039500555555555</v>
      </c>
      <c r="U78" s="4">
        <f t="shared" si="38"/>
        <v>1.7135550500000001</v>
      </c>
      <c r="V78" s="16">
        <f>+S78*$M$3/'COST DATA'!$D$26</f>
        <v>1.7770448478691998</v>
      </c>
      <c r="W78" s="16">
        <f t="shared" si="40"/>
        <v>1.1633325234450001E-2</v>
      </c>
      <c r="X78" s="27">
        <f t="shared" si="41"/>
        <v>33.075000000000003</v>
      </c>
      <c r="Y78" s="4">
        <f t="shared" si="42"/>
        <v>12.364864864864865</v>
      </c>
      <c r="Z78" s="4">
        <f>+(S78/$S$3)*('Finished goods'!$Q$3*$S$1)</f>
        <v>0.55768930550000007</v>
      </c>
      <c r="AA78" s="4">
        <f>+'Finished goods'!$O$3*'Project Orto'!T78</f>
        <v>0.22070835177953907</v>
      </c>
      <c r="AB78" s="4"/>
      <c r="AC78" s="7">
        <f t="shared" si="43"/>
        <v>48.006940695248055</v>
      </c>
    </row>
    <row r="79" spans="1:29" x14ac:dyDescent="0.3">
      <c r="A79" s="243"/>
      <c r="B79" s="21" t="s">
        <v>123</v>
      </c>
      <c r="C79" s="4" t="str">
        <f t="shared" si="39"/>
        <v>Caraffa colonna twist3</v>
      </c>
      <c r="D79" s="5">
        <f>VLOOKUP($C79,'Finished goods'!$A$5:$Q$27,2,FALSE)</f>
        <v>2</v>
      </c>
      <c r="E79" s="5">
        <f>VLOOKUP($C79,'Finished goods'!$A$5:$Q$27,3,FALSE)</f>
        <v>1</v>
      </c>
      <c r="F79" s="5">
        <f>VLOOKUP($C79,'Finished goods'!$A$5:$Q$27,4,FALSE)</f>
        <v>1.42</v>
      </c>
      <c r="G79" s="5">
        <f>VLOOKUP($C79,'Finished goods'!$A$5:$Q$27,5,FALSE)</f>
        <v>102</v>
      </c>
      <c r="H79" s="8">
        <f>VLOOKUP($C79,'Finished goods'!$A$5:$Q$27,6,FALSE)</f>
        <v>3.3727121999999998E-4</v>
      </c>
      <c r="I79" s="9">
        <f>VLOOKUP($C79,'Finished goods'!$A$5:$Q$27,7,FALSE)</f>
        <v>0.93686449999999988</v>
      </c>
      <c r="J79" s="9">
        <f>VLOOKUP($C79,'Finished goods'!$A$5:$Q$27,8,FALSE)</f>
        <v>0.8431780499999999</v>
      </c>
      <c r="R79" s="23">
        <v>2</v>
      </c>
      <c r="S79" s="6">
        <f t="shared" si="36"/>
        <v>204</v>
      </c>
      <c r="T79" s="6">
        <f t="shared" si="37"/>
        <v>1.8737289999999998</v>
      </c>
      <c r="U79" s="4">
        <f t="shared" si="38"/>
        <v>1.6863560999999998</v>
      </c>
      <c r="V79" s="16">
        <f>+S79*$M$3/'COST DATA'!$D$26</f>
        <v>1.7262721379300801</v>
      </c>
      <c r="W79" s="16">
        <f t="shared" si="40"/>
        <v>1.1448671562899998E-2</v>
      </c>
      <c r="X79" s="27">
        <f t="shared" si="41"/>
        <v>32.130000000000003</v>
      </c>
      <c r="Y79" s="4">
        <f t="shared" si="42"/>
        <v>12.011583011583012</v>
      </c>
      <c r="Z79" s="4">
        <f>+(S79/$S$3)*('Finished goods'!$Q$3*$S$1)</f>
        <v>0.5417553253428572</v>
      </c>
      <c r="AA79" s="4">
        <f>+'Finished goods'!$O$3*'Project Orto'!T79</f>
        <v>0.21720508795114082</v>
      </c>
      <c r="AB79" s="4"/>
      <c r="AC79" s="7">
        <f t="shared" si="43"/>
        <v>46.638264234369991</v>
      </c>
    </row>
    <row r="80" spans="1:29" x14ac:dyDescent="0.3">
      <c r="A80" s="243"/>
      <c r="B80" s="21" t="s">
        <v>123</v>
      </c>
      <c r="C80" s="4" t="str">
        <f t="shared" si="39"/>
        <v>Bicchiere colonna twist1</v>
      </c>
      <c r="D80" s="5">
        <f>VLOOKUP($C80,'Finished goods'!$A$5:$Q$27,2,FALSE)</f>
        <v>1</v>
      </c>
      <c r="E80" s="5">
        <f>VLOOKUP($C80,'Finished goods'!$A$5:$Q$27,3,FALSE)</f>
        <v>1</v>
      </c>
      <c r="F80" s="5">
        <f>VLOOKUP($C80,'Finished goods'!$A$5:$Q$27,4,FALSE)</f>
        <v>0.57999999999999996</v>
      </c>
      <c r="G80" s="5">
        <f>VLOOKUP($C80,'Finished goods'!$A$5:$Q$27,5,FALSE)</f>
        <v>58</v>
      </c>
      <c r="H80" s="8">
        <f>VLOOKUP($C80,'Finished goods'!$A$5:$Q$27,6,FALSE)</f>
        <v>9.7981700000000004E-5</v>
      </c>
      <c r="I80" s="9">
        <f>VLOOKUP($C80,'Finished goods'!$A$5:$Q$27,7,FALSE)</f>
        <v>0.27217138888888892</v>
      </c>
      <c r="J80" s="9">
        <f>VLOOKUP($C80,'Finished goods'!$A$5:$Q$27,8,FALSE)</f>
        <v>0.24495425000000001</v>
      </c>
      <c r="R80" s="23">
        <v>12</v>
      </c>
      <c r="S80" s="6">
        <f t="shared" si="36"/>
        <v>696</v>
      </c>
      <c r="T80" s="6">
        <f t="shared" si="37"/>
        <v>3.2660566666666671</v>
      </c>
      <c r="U80" s="4">
        <f t="shared" si="38"/>
        <v>2.939451</v>
      </c>
      <c r="V80" s="16">
        <f>+S80*$M$3/'COST DATA'!$D$26</f>
        <v>5.8896343529379198</v>
      </c>
      <c r="W80" s="16">
        <f t="shared" si="40"/>
        <v>1.9955932839000001E-2</v>
      </c>
      <c r="X80" s="27">
        <f t="shared" si="41"/>
        <v>109.62000000000002</v>
      </c>
      <c r="Y80" s="4">
        <f t="shared" si="42"/>
        <v>40.980694980694977</v>
      </c>
      <c r="Z80" s="4">
        <f>+(S80/$S$3)*('Finished goods'!$Q$3*$S$1)</f>
        <v>1.8483416982285714</v>
      </c>
      <c r="AA80" s="4">
        <f>+'Finished goods'!$O$3*'Project Orto'!T80</f>
        <v>0.37860551100865886</v>
      </c>
      <c r="AB80" s="4"/>
      <c r="AC80" s="7">
        <f t="shared" si="43"/>
        <v>158.73723247570913</v>
      </c>
    </row>
    <row r="81" spans="1:29" x14ac:dyDescent="0.3">
      <c r="A81" s="243"/>
      <c r="B81" s="21" t="s">
        <v>123</v>
      </c>
      <c r="C81" s="4" t="str">
        <f t="shared" si="39"/>
        <v>Bicchiere colonna twist2</v>
      </c>
      <c r="D81" s="5">
        <f>VLOOKUP($C81,'Finished goods'!$A$5:$Q$27,2,FALSE)</f>
        <v>1</v>
      </c>
      <c r="E81" s="5">
        <f>VLOOKUP($C81,'Finished goods'!$A$5:$Q$27,3,FALSE)</f>
        <v>1</v>
      </c>
      <c r="F81" s="5">
        <f>VLOOKUP($C81,'Finished goods'!$A$5:$Q$27,4,FALSE)</f>
        <v>0.59</v>
      </c>
      <c r="G81" s="5">
        <f>VLOOKUP($C81,'Finished goods'!$A$5:$Q$27,5,FALSE)</f>
        <v>59</v>
      </c>
      <c r="H81" s="8">
        <f>VLOOKUP($C81,'Finished goods'!$A$5:$Q$27,6,FALSE)</f>
        <v>9.7982366999999995E-5</v>
      </c>
      <c r="I81" s="9">
        <f>VLOOKUP($C81,'Finished goods'!$A$5:$Q$27,7,FALSE)</f>
        <v>0.27217324166666662</v>
      </c>
      <c r="J81" s="9">
        <f>VLOOKUP($C81,'Finished goods'!$A$5:$Q$27,8,FALSE)</f>
        <v>0.24495591749999998</v>
      </c>
      <c r="R81" s="23">
        <v>12</v>
      </c>
      <c r="S81" s="6">
        <f t="shared" si="36"/>
        <v>708</v>
      </c>
      <c r="T81" s="6">
        <f t="shared" si="37"/>
        <v>3.2660788999999992</v>
      </c>
      <c r="U81" s="4">
        <f t="shared" si="38"/>
        <v>2.9394710099999997</v>
      </c>
      <c r="V81" s="16">
        <f>+S81*$M$3/'COST DATA'!$D$26</f>
        <v>5.9911797728161593</v>
      </c>
      <c r="W81" s="16">
        <f t="shared" si="40"/>
        <v>1.9956068686889997E-2</v>
      </c>
      <c r="X81" s="27">
        <f t="shared" si="41"/>
        <v>111.51000000000002</v>
      </c>
      <c r="Y81" s="4">
        <f t="shared" si="42"/>
        <v>41.687258687258691</v>
      </c>
      <c r="Z81" s="4">
        <f>+(S81/$S$3)*('Finished goods'!$Q$3*$S$1)</f>
        <v>1.8802096585428572</v>
      </c>
      <c r="AA81" s="4">
        <f>+'Finished goods'!$O$3*'Project Orto'!T81</f>
        <v>0.37860808832540094</v>
      </c>
      <c r="AB81" s="4"/>
      <c r="AC81" s="7">
        <f t="shared" si="43"/>
        <v>161.46721227563</v>
      </c>
    </row>
    <row r="82" spans="1:29" x14ac:dyDescent="0.3">
      <c r="A82" s="243"/>
      <c r="B82" s="21" t="s">
        <v>123</v>
      </c>
      <c r="C82" s="4" t="str">
        <f t="shared" si="39"/>
        <v>Bicchiere colonna twist3</v>
      </c>
      <c r="D82" s="5">
        <f>VLOOKUP($C82,'Finished goods'!$A$5:$Q$27,2,FALSE)</f>
        <v>1</v>
      </c>
      <c r="E82" s="5">
        <f>VLOOKUP($C82,'Finished goods'!$A$5:$Q$27,3,FALSE)</f>
        <v>1</v>
      </c>
      <c r="F82" s="5">
        <f>VLOOKUP($C82,'Finished goods'!$A$5:$Q$27,4,FALSE)</f>
        <v>0.59</v>
      </c>
      <c r="G82" s="5">
        <f>VLOOKUP($C82,'Finished goods'!$A$5:$Q$27,5,FALSE)</f>
        <v>59</v>
      </c>
      <c r="H82" s="8">
        <f>VLOOKUP($C82,'Finished goods'!$A$5:$Q$27,6,FALSE)</f>
        <v>9.7984652999999995E-5</v>
      </c>
      <c r="I82" s="9">
        <f>VLOOKUP($C82,'Finished goods'!$A$5:$Q$27,7,FALSE)</f>
        <v>0.27217959166666666</v>
      </c>
      <c r="J82" s="9">
        <f>VLOOKUP($C82,'Finished goods'!$A$5:$Q$27,8,FALSE)</f>
        <v>0.2449616325</v>
      </c>
      <c r="R82" s="23">
        <v>12</v>
      </c>
      <c r="S82" s="6">
        <f t="shared" si="36"/>
        <v>708</v>
      </c>
      <c r="T82" s="6">
        <f t="shared" si="37"/>
        <v>3.2661550999999998</v>
      </c>
      <c r="U82" s="4">
        <f t="shared" si="38"/>
        <v>2.9395395899999999</v>
      </c>
      <c r="V82" s="16">
        <f>+S82*$M$3/'COST DATA'!$D$26</f>
        <v>5.9911797728161593</v>
      </c>
      <c r="W82" s="16">
        <f t="shared" si="40"/>
        <v>1.995653427651E-2</v>
      </c>
      <c r="X82" s="27">
        <f t="shared" si="41"/>
        <v>111.51000000000002</v>
      </c>
      <c r="Y82" s="4">
        <f t="shared" si="42"/>
        <v>41.687258687258691</v>
      </c>
      <c r="Z82" s="4">
        <f>+(S82/$S$3)*('Finished goods'!$Q$3*$S$1)</f>
        <v>1.8802096585428572</v>
      </c>
      <c r="AA82" s="4">
        <f>+'Finished goods'!$O$3*'Project Orto'!T82</f>
        <v>0.37861692152790888</v>
      </c>
      <c r="AB82" s="4"/>
      <c r="AC82" s="7">
        <f t="shared" si="43"/>
        <v>161.46722157442215</v>
      </c>
    </row>
    <row r="83" spans="1:29" x14ac:dyDescent="0.3">
      <c r="A83" s="244"/>
      <c r="B83" s="21" t="s">
        <v>123</v>
      </c>
      <c r="C83" s="4" t="str">
        <f t="shared" si="39"/>
        <v>Bicchiere colonna twist alto</v>
      </c>
      <c r="D83" s="5">
        <f>VLOOKUP($C83,'Finished goods'!$A$5:$Q$27,2,FALSE)</f>
        <v>1</v>
      </c>
      <c r="E83" s="5">
        <f>VLOOKUP($C83,'Finished goods'!$A$5:$Q$27,3,FALSE)</f>
        <v>1</v>
      </c>
      <c r="F83" s="5">
        <f>VLOOKUP($C83,'Finished goods'!$A$5:$Q$27,4,FALSE)</f>
        <v>0.57999999999999996</v>
      </c>
      <c r="G83" s="5">
        <f>VLOOKUP($C83,'Finished goods'!$A$5:$Q$27,5,FALSE)</f>
        <v>58</v>
      </c>
      <c r="H83" s="8">
        <f>VLOOKUP($C83,'Finished goods'!$A$5:$Q$27,6,FALSE)</f>
        <v>9.4065272999999995E-5</v>
      </c>
      <c r="I83" s="9">
        <f>VLOOKUP($C83,'Finished goods'!$A$5:$Q$27,7,FALSE)</f>
        <v>0.26129242499999999</v>
      </c>
      <c r="J83" s="9">
        <f>VLOOKUP($C83,'Finished goods'!$A$5:$Q$27,8,FALSE)</f>
        <v>0.23516318249999998</v>
      </c>
      <c r="R83" s="23">
        <v>12</v>
      </c>
      <c r="S83" s="6">
        <f t="shared" si="36"/>
        <v>696</v>
      </c>
      <c r="T83" s="6">
        <f t="shared" si="37"/>
        <v>3.1355091000000002</v>
      </c>
      <c r="U83" s="4">
        <f t="shared" si="38"/>
        <v>2.8219581899999997</v>
      </c>
      <c r="V83" s="16">
        <f>+S83*$M$3/'COST DATA'!$D$26</f>
        <v>5.8896343529379198</v>
      </c>
      <c r="W83" s="16">
        <f t="shared" si="40"/>
        <v>1.9158274151909998E-2</v>
      </c>
      <c r="X83" s="27">
        <f t="shared" si="41"/>
        <v>109.62000000000002</v>
      </c>
      <c r="Y83" s="4">
        <f t="shared" si="42"/>
        <v>40.980694980694977</v>
      </c>
      <c r="Z83" s="4">
        <f>+(S83/$S$3)*('Finished goods'!$Q$3*$S$1)</f>
        <v>1.8483416982285714</v>
      </c>
      <c r="AA83" s="4">
        <f>+'Finished goods'!$O$3*'Project Orto'!T83</f>
        <v>0.36347226831473628</v>
      </c>
      <c r="AB83" s="4"/>
      <c r="AC83" s="7">
        <f t="shared" si="43"/>
        <v>158.72130157432812</v>
      </c>
    </row>
    <row r="86" spans="1:29" ht="18" x14ac:dyDescent="0.35">
      <c r="D86" s="237" t="s">
        <v>40</v>
      </c>
      <c r="E86" s="237"/>
      <c r="F86" s="237"/>
      <c r="G86" s="23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4" t="s">
        <v>32</v>
      </c>
      <c r="S86" s="47">
        <f>+S88/60/7</f>
        <v>10.357142857142858</v>
      </c>
      <c r="T86" t="s">
        <v>83</v>
      </c>
    </row>
    <row r="87" spans="1:29" x14ac:dyDescent="0.3">
      <c r="D87" s="236" t="s">
        <v>33</v>
      </c>
      <c r="E87" s="236"/>
      <c r="F87" s="236"/>
      <c r="G87" s="236"/>
      <c r="H87" s="236"/>
      <c r="I87" s="236"/>
      <c r="J87" s="236"/>
      <c r="M87" s="236" t="s">
        <v>36</v>
      </c>
      <c r="N87" s="236"/>
      <c r="O87" s="236"/>
      <c r="P87" s="236"/>
      <c r="Q87" s="236"/>
      <c r="V87" s="241" t="s">
        <v>41</v>
      </c>
      <c r="W87" s="241"/>
      <c r="X87" s="241"/>
      <c r="Y87" s="241"/>
      <c r="Z87" s="241"/>
      <c r="AA87" s="241"/>
      <c r="AB87" s="241"/>
      <c r="AC87" s="241"/>
    </row>
    <row r="88" spans="1:29" ht="18" x14ac:dyDescent="0.35">
      <c r="F88" s="225" t="s">
        <v>44</v>
      </c>
      <c r="G88" s="225"/>
      <c r="I88" s="20">
        <f>SUBTOTAL(9,I90:I100)</f>
        <v>6.7672086749999991</v>
      </c>
      <c r="J88" s="20">
        <f>SUBTOTAL(9,J90:J100)</f>
        <v>6.0904878074999997</v>
      </c>
      <c r="K88" s="1">
        <f>+'Finished goods'!$I$3</f>
        <v>2500</v>
      </c>
      <c r="L88" s="1">
        <f>+'Finished goods'!$J$3</f>
        <v>0.9</v>
      </c>
      <c r="M88" s="15">
        <f>+'Finished goods'!$K$3</f>
        <v>0.50772709939119998</v>
      </c>
      <c r="N88" s="15">
        <f>+'Finished goods'!$L$3</f>
        <v>6.7889999999999999E-3</v>
      </c>
      <c r="O88" s="13">
        <f>+'Finished goods'!$M$3</f>
        <v>0.15750000000000003</v>
      </c>
      <c r="P88" s="46">
        <f>+'Finished goods'!$N$3</f>
        <v>5.8880308880308881E-2</v>
      </c>
      <c r="Q88" s="1"/>
      <c r="S88" s="17">
        <f t="shared" ref="S88:AC88" si="44">SUBTOTAL(9,S90:S100)</f>
        <v>4350</v>
      </c>
      <c r="T88" s="17">
        <f t="shared" si="44"/>
        <v>33.717334016666669</v>
      </c>
      <c r="U88" s="17">
        <f t="shared" si="44"/>
        <v>30.345600615000002</v>
      </c>
      <c r="V88" s="18">
        <f t="shared" si="44"/>
        <v>36.810214705862002</v>
      </c>
      <c r="W88" s="18">
        <f t="shared" si="44"/>
        <v>0.20601628257523499</v>
      </c>
      <c r="X88" s="18">
        <f t="shared" si="44"/>
        <v>685.125</v>
      </c>
      <c r="Y88" s="18">
        <f t="shared" si="44"/>
        <v>256.12934362934362</v>
      </c>
      <c r="Z88" s="18">
        <f t="shared" si="44"/>
        <v>11.552135613928572</v>
      </c>
      <c r="AA88" s="18">
        <f t="shared" si="44"/>
        <v>3.9085569474390782</v>
      </c>
      <c r="AB88" s="18">
        <f t="shared" si="44"/>
        <v>0</v>
      </c>
      <c r="AC88" s="19">
        <f t="shared" si="44"/>
        <v>993.73126717914852</v>
      </c>
    </row>
    <row r="89" spans="1:29" x14ac:dyDescent="0.3">
      <c r="A89" s="1" t="s">
        <v>145</v>
      </c>
      <c r="B89" s="1" t="s">
        <v>30</v>
      </c>
      <c r="C89" s="1" t="s">
        <v>0</v>
      </c>
      <c r="D89" s="1" t="s">
        <v>4</v>
      </c>
      <c r="E89" s="1" t="s">
        <v>5</v>
      </c>
      <c r="F89" s="1" t="s">
        <v>45</v>
      </c>
      <c r="G89" s="1" t="s">
        <v>57</v>
      </c>
      <c r="H89" s="1" t="s">
        <v>6</v>
      </c>
      <c r="I89" s="1" t="s">
        <v>2</v>
      </c>
      <c r="J89" s="1" t="s">
        <v>7</v>
      </c>
      <c r="K89" s="1" t="s">
        <v>31</v>
      </c>
      <c r="L89" s="1" t="s">
        <v>8</v>
      </c>
      <c r="M89" s="1" t="s">
        <v>34</v>
      </c>
      <c r="N89" s="1" t="s">
        <v>35</v>
      </c>
      <c r="O89" s="1" t="s">
        <v>37</v>
      </c>
      <c r="P89" s="1" t="s">
        <v>79</v>
      </c>
      <c r="Q89" s="1" t="s">
        <v>38</v>
      </c>
      <c r="R89" s="1" t="s">
        <v>39</v>
      </c>
      <c r="S89" s="2" t="s">
        <v>43</v>
      </c>
      <c r="T89" s="2" t="s">
        <v>2</v>
      </c>
      <c r="U89" s="2" t="s">
        <v>7</v>
      </c>
      <c r="V89" s="2">
        <f>+'Finished goods'!K89</f>
        <v>0</v>
      </c>
      <c r="W89" s="2">
        <f>+'Finished goods'!L89</f>
        <v>0</v>
      </c>
      <c r="X89" s="2">
        <f>+'Finished goods'!M89</f>
        <v>0</v>
      </c>
      <c r="Y89" s="2">
        <f>+'Finished goods'!N89</f>
        <v>0</v>
      </c>
      <c r="Z89" s="2">
        <f>+'Finished goods'!Q89</f>
        <v>0</v>
      </c>
      <c r="AA89" s="3" t="s">
        <v>111</v>
      </c>
      <c r="AB89" s="3" t="s">
        <v>115</v>
      </c>
      <c r="AC89" s="3" t="s">
        <v>42</v>
      </c>
    </row>
    <row r="90" spans="1:29" ht="14.4" customHeight="1" x14ac:dyDescent="0.3">
      <c r="A90" s="242" t="s">
        <v>416</v>
      </c>
      <c r="B90" s="21" t="s">
        <v>123</v>
      </c>
      <c r="C90" s="4" t="str">
        <f>+C73</f>
        <v>Bicchiere curve dritto</v>
      </c>
      <c r="D90" s="5">
        <f>VLOOKUP($C90,'Finished goods'!$A$5:$Q$27,2,FALSE)</f>
        <v>2</v>
      </c>
      <c r="E90" s="5">
        <f>VLOOKUP($C90,'Finished goods'!$A$5:$Q$27,3,FALSE)</f>
        <v>2</v>
      </c>
      <c r="F90" s="5">
        <f>VLOOKUP($C90,'Finished goods'!$A$5:$Q$27,4,FALSE)</f>
        <v>0.26</v>
      </c>
      <c r="G90" s="5">
        <f>VLOOKUP($C90,'Finished goods'!$A$5:$Q$27,5,FALSE)</f>
        <v>26</v>
      </c>
      <c r="H90" s="8">
        <f>VLOOKUP($C90,'Finished goods'!$A$5:$Q$27,6,FALSE)</f>
        <v>1.6928511099999999E-4</v>
      </c>
      <c r="I90" s="9">
        <f>VLOOKUP($C90,'Finished goods'!$A$5:$Q$27,7,FALSE)</f>
        <v>0.47023641944444439</v>
      </c>
      <c r="J90" s="9">
        <f>VLOOKUP($C90,'Finished goods'!$A$5:$Q$27,8,FALSE)</f>
        <v>0.42321277749999997</v>
      </c>
      <c r="R90" s="23">
        <v>12</v>
      </c>
      <c r="S90" s="6">
        <f t="shared" ref="S90:S100" si="45">+G90*$R90</f>
        <v>312</v>
      </c>
      <c r="T90" s="6">
        <f t="shared" ref="T90:T100" si="46">+I90*$R90</f>
        <v>5.6428370333333326</v>
      </c>
      <c r="U90" s="4">
        <f t="shared" ref="U90:U100" si="47">+J90*$R90</f>
        <v>5.0785533300000001</v>
      </c>
      <c r="V90" s="16">
        <f>+S90*$M$3/'COST DATA'!$D$26</f>
        <v>2.6401809168342401</v>
      </c>
      <c r="W90" s="16">
        <f>+U90*$N$3</f>
        <v>3.4478298557370002E-2</v>
      </c>
      <c r="X90" s="27">
        <f>+S90*$O$3</f>
        <v>49.140000000000008</v>
      </c>
      <c r="Y90" s="4">
        <f>+S90*$P$3</f>
        <v>18.37065637065637</v>
      </c>
      <c r="Z90" s="4">
        <f>+(S90/$S$3)*('Finished goods'!$Q$3*$S$1)</f>
        <v>0.82856696817142861</v>
      </c>
      <c r="AA90" s="4">
        <f>+'Finished goods'!$O$3*'Project Orto'!T90</f>
        <v>0.65412496370559525</v>
      </c>
      <c r="AB90" s="4"/>
      <c r="AC90" s="7">
        <f>+V90+W90+X90+Y90+Z90+AA90+AB90</f>
        <v>71.668007517925005</v>
      </c>
    </row>
    <row r="91" spans="1:29" x14ac:dyDescent="0.3">
      <c r="A91" s="243"/>
      <c r="B91" s="21" t="s">
        <v>123</v>
      </c>
      <c r="C91" s="4" t="str">
        <f t="shared" ref="C91:C100" si="48">+C74</f>
        <v>Bicchiere curve twist</v>
      </c>
      <c r="D91" s="5">
        <f>VLOOKUP($C91,'Finished goods'!$A$5:$Q$27,2,FALSE)</f>
        <v>2</v>
      </c>
      <c r="E91" s="5">
        <f>VLOOKUP($C91,'Finished goods'!$A$5:$Q$27,3,FALSE)</f>
        <v>2</v>
      </c>
      <c r="F91" s="5">
        <f>VLOOKUP($C91,'Finished goods'!$A$5:$Q$27,4,FALSE)</f>
        <v>0.25</v>
      </c>
      <c r="G91" s="5">
        <f>VLOOKUP($C91,'Finished goods'!$A$5:$Q$27,5,FALSE)</f>
        <v>25</v>
      </c>
      <c r="H91" s="8">
        <f>VLOOKUP($C91,'Finished goods'!$A$5:$Q$27,6,FALSE)</f>
        <v>1.69285896E-4</v>
      </c>
      <c r="I91" s="9">
        <f>VLOOKUP($C91,'Finished goods'!$A$5:$Q$27,7,FALSE)</f>
        <v>0.47023859999999995</v>
      </c>
      <c r="J91" s="9">
        <f>VLOOKUP($C91,'Finished goods'!$A$5:$Q$27,8,FALSE)</f>
        <v>0.42321473999999998</v>
      </c>
      <c r="R91" s="23">
        <v>12</v>
      </c>
      <c r="S91" s="6">
        <f t="shared" si="45"/>
        <v>300</v>
      </c>
      <c r="T91" s="6">
        <f t="shared" si="46"/>
        <v>5.642863199999999</v>
      </c>
      <c r="U91" s="4">
        <f t="shared" si="47"/>
        <v>5.07857688</v>
      </c>
      <c r="V91" s="16">
        <f>+S91*$M$3/'COST DATA'!$D$26</f>
        <v>2.5386354969559997</v>
      </c>
      <c r="W91" s="16">
        <f t="shared" ref="W91:W100" si="49">+U91*$N$3</f>
        <v>3.4478458438320002E-2</v>
      </c>
      <c r="X91" s="27">
        <f t="shared" ref="X91:X100" si="50">+S91*$O$3</f>
        <v>47.250000000000007</v>
      </c>
      <c r="Y91" s="4">
        <f t="shared" ref="Y91:Y100" si="51">+S91*$P$3</f>
        <v>17.664092664092664</v>
      </c>
      <c r="Z91" s="4">
        <f>+(S91/$S$3)*('Finished goods'!$Q$3*$S$1)</f>
        <v>0.79669900785714287</v>
      </c>
      <c r="AA91" s="4">
        <f>+'Finished goods'!$O$3*'Project Orto'!T91</f>
        <v>0.65412799697942225</v>
      </c>
      <c r="AB91" s="4"/>
      <c r="AC91" s="7">
        <f t="shared" ref="AC91:AC100" si="52">+V91+W91+X91+Y91+Z91+AA91+AB91</f>
        <v>68.938033624323552</v>
      </c>
    </row>
    <row r="92" spans="1:29" x14ac:dyDescent="0.3">
      <c r="A92" s="243"/>
      <c r="B92" s="21" t="s">
        <v>123</v>
      </c>
      <c r="C92" s="4" t="str">
        <f t="shared" si="48"/>
        <v>Caraffa curva</v>
      </c>
      <c r="D92" s="5">
        <f>VLOOKUP($C92,'Finished goods'!$A$5:$Q$27,2,FALSE)</f>
        <v>2</v>
      </c>
      <c r="E92" s="5">
        <f>VLOOKUP($C92,'Finished goods'!$A$5:$Q$27,3,FALSE)</f>
        <v>2</v>
      </c>
      <c r="F92" s="5">
        <f>VLOOKUP($C92,'Finished goods'!$A$5:$Q$27,4,FALSE)</f>
        <v>0.56999999999999995</v>
      </c>
      <c r="G92" s="5">
        <f>VLOOKUP($C92,'Finished goods'!$A$5:$Q$27,5,FALSE)</f>
        <v>57</v>
      </c>
      <c r="H92" s="8">
        <f>VLOOKUP($C92,'Finished goods'!$A$5:$Q$27,6,FALSE)</f>
        <v>3.69342133E-4</v>
      </c>
      <c r="I92" s="9">
        <f>VLOOKUP($C92,'Finished goods'!$A$5:$Q$27,7,FALSE)</f>
        <v>1.0259503694444445</v>
      </c>
      <c r="J92" s="9">
        <f>VLOOKUP($C92,'Finished goods'!$A$5:$Q$27,8,FALSE)</f>
        <v>0.92335533250000001</v>
      </c>
      <c r="R92" s="23">
        <v>2</v>
      </c>
      <c r="S92" s="6">
        <f t="shared" si="45"/>
        <v>114</v>
      </c>
      <c r="T92" s="6">
        <f t="shared" si="46"/>
        <v>2.051900738888889</v>
      </c>
      <c r="U92" s="4">
        <f t="shared" si="47"/>
        <v>1.846710665</v>
      </c>
      <c r="V92" s="16">
        <f>+S92*$M$3/'COST DATA'!$D$26</f>
        <v>0.96468148884327987</v>
      </c>
      <c r="W92" s="16">
        <f t="shared" si="49"/>
        <v>1.2537318704685E-2</v>
      </c>
      <c r="X92" s="27">
        <f t="shared" si="50"/>
        <v>17.955000000000002</v>
      </c>
      <c r="Y92" s="4">
        <f t="shared" si="51"/>
        <v>6.7123552123552122</v>
      </c>
      <c r="Z92" s="4">
        <f>+(S92/$S$3)*('Finished goods'!$Q$3*$S$1)</f>
        <v>0.30274562298571428</v>
      </c>
      <c r="AA92" s="4">
        <f>+'Finished goods'!$O$3*'Project Orto'!T92</f>
        <v>0.23785898625541477</v>
      </c>
      <c r="AB92" s="4"/>
      <c r="AC92" s="7">
        <f t="shared" si="52"/>
        <v>26.185178629144307</v>
      </c>
    </row>
    <row r="93" spans="1:29" x14ac:dyDescent="0.3">
      <c r="A93" s="243"/>
      <c r="B93" s="21" t="s">
        <v>123</v>
      </c>
      <c r="C93" s="4" t="str">
        <f t="shared" si="48"/>
        <v>Caraffa colonna dritta</v>
      </c>
      <c r="D93" s="5">
        <f>VLOOKUP($C93,'Finished goods'!$A$5:$Q$27,2,FALSE)</f>
        <v>2</v>
      </c>
      <c r="E93" s="5">
        <f>VLOOKUP($C93,'Finished goods'!$A$5:$Q$27,3,FALSE)</f>
        <v>1</v>
      </c>
      <c r="F93" s="5">
        <f>VLOOKUP($C93,'Finished goods'!$A$5:$Q$27,4,FALSE)</f>
        <v>1.4</v>
      </c>
      <c r="G93" s="5">
        <f>VLOOKUP($C93,'Finished goods'!$A$5:$Q$27,5,FALSE)</f>
        <v>100</v>
      </c>
      <c r="H93" s="8">
        <f>VLOOKUP($C93,'Finished goods'!$A$5:$Q$27,6,FALSE)</f>
        <v>3.2796365999999998E-4</v>
      </c>
      <c r="I93" s="9">
        <f>VLOOKUP($C93,'Finished goods'!$A$5:$Q$27,7,FALSE)</f>
        <v>0.91101016666666657</v>
      </c>
      <c r="J93" s="9">
        <f>VLOOKUP($C93,'Finished goods'!$A$5:$Q$27,8,FALSE)</f>
        <v>0.81990914999999998</v>
      </c>
      <c r="R93" s="23">
        <v>2</v>
      </c>
      <c r="S93" s="6">
        <f t="shared" si="45"/>
        <v>200</v>
      </c>
      <c r="T93" s="6">
        <f t="shared" si="46"/>
        <v>1.8220203333333331</v>
      </c>
      <c r="U93" s="4">
        <f t="shared" si="47"/>
        <v>1.6398183</v>
      </c>
      <c r="V93" s="16">
        <f>+S93*$M$3/'COST DATA'!$D$26</f>
        <v>1.6924236646373332</v>
      </c>
      <c r="W93" s="16">
        <f t="shared" si="49"/>
        <v>1.1132726438699999E-2</v>
      </c>
      <c r="X93" s="27">
        <f t="shared" si="50"/>
        <v>31.500000000000007</v>
      </c>
      <c r="Y93" s="4">
        <f t="shared" si="51"/>
        <v>11.776061776061777</v>
      </c>
      <c r="Z93" s="4">
        <f>+(S93/$S$3)*('Finished goods'!$Q$3*$S$1)</f>
        <v>0.53113267190476188</v>
      </c>
      <c r="AA93" s="4">
        <f>+'Finished goods'!$O$3*'Project Orto'!T93</f>
        <v>0.21121095246454188</v>
      </c>
      <c r="AB93" s="4"/>
      <c r="AC93" s="7">
        <f t="shared" si="52"/>
        <v>45.72196179150712</v>
      </c>
    </row>
    <row r="94" spans="1:29" x14ac:dyDescent="0.3">
      <c r="A94" s="243"/>
      <c r="B94" s="21" t="s">
        <v>123</v>
      </c>
      <c r="C94" s="4" t="str">
        <f t="shared" si="48"/>
        <v>Caraffa colonna twist1</v>
      </c>
      <c r="D94" s="5">
        <f>VLOOKUP($C94,'Finished goods'!$A$5:$Q$27,2,FALSE)</f>
        <v>2</v>
      </c>
      <c r="E94" s="5">
        <f>VLOOKUP($C94,'Finished goods'!$A$5:$Q$27,3,FALSE)</f>
        <v>1</v>
      </c>
      <c r="F94" s="5">
        <f>VLOOKUP($C94,'Finished goods'!$A$5:$Q$27,4,FALSE)</f>
        <v>1.41</v>
      </c>
      <c r="G94" s="5">
        <f>VLOOKUP($C94,'Finished goods'!$A$5:$Q$27,5,FALSE)</f>
        <v>101</v>
      </c>
      <c r="H94" s="8">
        <f>VLOOKUP($C94,'Finished goods'!$A$5:$Q$27,6,FALSE)</f>
        <v>3.323221E-4</v>
      </c>
      <c r="I94" s="9">
        <f>VLOOKUP($C94,'Finished goods'!$A$5:$Q$27,7,FALSE)</f>
        <v>0.92311694444444448</v>
      </c>
      <c r="J94" s="9">
        <f>VLOOKUP($C94,'Finished goods'!$A$5:$Q$27,8,FALSE)</f>
        <v>0.83080525000000005</v>
      </c>
      <c r="R94" s="23">
        <v>2</v>
      </c>
      <c r="S94" s="6">
        <f t="shared" si="45"/>
        <v>202</v>
      </c>
      <c r="T94" s="6">
        <f t="shared" si="46"/>
        <v>1.846233888888889</v>
      </c>
      <c r="U94" s="4">
        <f t="shared" si="47"/>
        <v>1.6616105000000001</v>
      </c>
      <c r="V94" s="16">
        <f>+S94*$M$3/'COST DATA'!$D$26</f>
        <v>1.7093479012837065</v>
      </c>
      <c r="W94" s="16">
        <f t="shared" si="49"/>
        <v>1.12806736845E-2</v>
      </c>
      <c r="X94" s="27">
        <f t="shared" si="50"/>
        <v>31.815000000000005</v>
      </c>
      <c r="Y94" s="4">
        <f t="shared" si="51"/>
        <v>11.893822393822393</v>
      </c>
      <c r="Z94" s="4">
        <f>+(S94/$S$3)*('Finished goods'!$Q$3*$S$1)</f>
        <v>0.53644399862380954</v>
      </c>
      <c r="AA94" s="4">
        <f>+'Finished goods'!$O$3*'Project Orto'!T94</f>
        <v>0.21401781912671894</v>
      </c>
      <c r="AB94" s="4"/>
      <c r="AC94" s="7">
        <f t="shared" si="52"/>
        <v>46.179912786541131</v>
      </c>
    </row>
    <row r="95" spans="1:29" x14ac:dyDescent="0.3">
      <c r="A95" s="243"/>
      <c r="B95" s="21" t="s">
        <v>123</v>
      </c>
      <c r="C95" s="4" t="str">
        <f t="shared" si="48"/>
        <v>Caraffa colonna twist2</v>
      </c>
      <c r="D95" s="5">
        <f>VLOOKUP($C95,'Finished goods'!$A$5:$Q$27,2,FALSE)</f>
        <v>2</v>
      </c>
      <c r="E95" s="5">
        <f>VLOOKUP($C95,'Finished goods'!$A$5:$Q$27,3,FALSE)</f>
        <v>1</v>
      </c>
      <c r="F95" s="5">
        <f>VLOOKUP($C95,'Finished goods'!$A$5:$Q$27,4,FALSE)</f>
        <v>1.45</v>
      </c>
      <c r="G95" s="5">
        <f>VLOOKUP($C95,'Finished goods'!$A$5:$Q$27,5,FALSE)</f>
        <v>105</v>
      </c>
      <c r="H95" s="8">
        <f>VLOOKUP($C95,'Finished goods'!$A$5:$Q$27,6,FALSE)</f>
        <v>3.4271101000000001E-4</v>
      </c>
      <c r="I95" s="9">
        <f>VLOOKUP($C95,'Finished goods'!$A$5:$Q$27,7,FALSE)</f>
        <v>0.95197502777777776</v>
      </c>
      <c r="J95" s="9">
        <f>VLOOKUP($C95,'Finished goods'!$A$5:$Q$27,8,FALSE)</f>
        <v>0.85677752500000004</v>
      </c>
      <c r="R95" s="23">
        <v>2</v>
      </c>
      <c r="S95" s="6">
        <f t="shared" si="45"/>
        <v>210</v>
      </c>
      <c r="T95" s="6">
        <f t="shared" si="46"/>
        <v>1.9039500555555555</v>
      </c>
      <c r="U95" s="4">
        <f t="shared" si="47"/>
        <v>1.7135550500000001</v>
      </c>
      <c r="V95" s="16">
        <f>+S95*$M$3/'COST DATA'!$D$26</f>
        <v>1.7770448478691998</v>
      </c>
      <c r="W95" s="16">
        <f t="shared" si="49"/>
        <v>1.1633325234450001E-2</v>
      </c>
      <c r="X95" s="27">
        <f t="shared" si="50"/>
        <v>33.075000000000003</v>
      </c>
      <c r="Y95" s="4">
        <f t="shared" si="51"/>
        <v>12.364864864864865</v>
      </c>
      <c r="Z95" s="4">
        <f>+(S95/$S$3)*('Finished goods'!$Q$3*$S$1)</f>
        <v>0.55768930550000007</v>
      </c>
      <c r="AA95" s="4">
        <f>+'Finished goods'!$O$3*'Project Orto'!T95</f>
        <v>0.22070835177953907</v>
      </c>
      <c r="AB95" s="4"/>
      <c r="AC95" s="7">
        <f t="shared" si="52"/>
        <v>48.006940695248055</v>
      </c>
    </row>
    <row r="96" spans="1:29" x14ac:dyDescent="0.3">
      <c r="A96" s="243"/>
      <c r="B96" s="21" t="s">
        <v>123</v>
      </c>
      <c r="C96" s="4" t="str">
        <f t="shared" si="48"/>
        <v>Caraffa colonna twist3</v>
      </c>
      <c r="D96" s="5">
        <f>VLOOKUP($C96,'Finished goods'!$A$5:$Q$27,2,FALSE)</f>
        <v>2</v>
      </c>
      <c r="E96" s="5">
        <f>VLOOKUP($C96,'Finished goods'!$A$5:$Q$27,3,FALSE)</f>
        <v>1</v>
      </c>
      <c r="F96" s="5">
        <f>VLOOKUP($C96,'Finished goods'!$A$5:$Q$27,4,FALSE)</f>
        <v>1.42</v>
      </c>
      <c r="G96" s="5">
        <f>VLOOKUP($C96,'Finished goods'!$A$5:$Q$27,5,FALSE)</f>
        <v>102</v>
      </c>
      <c r="H96" s="8">
        <f>VLOOKUP($C96,'Finished goods'!$A$5:$Q$27,6,FALSE)</f>
        <v>3.3727121999999998E-4</v>
      </c>
      <c r="I96" s="9">
        <f>VLOOKUP($C96,'Finished goods'!$A$5:$Q$27,7,FALSE)</f>
        <v>0.93686449999999988</v>
      </c>
      <c r="J96" s="9">
        <f>VLOOKUP($C96,'Finished goods'!$A$5:$Q$27,8,FALSE)</f>
        <v>0.8431780499999999</v>
      </c>
      <c r="R96" s="23">
        <v>2</v>
      </c>
      <c r="S96" s="6">
        <f t="shared" si="45"/>
        <v>204</v>
      </c>
      <c r="T96" s="6">
        <f t="shared" si="46"/>
        <v>1.8737289999999998</v>
      </c>
      <c r="U96" s="4">
        <f t="shared" si="47"/>
        <v>1.6863560999999998</v>
      </c>
      <c r="V96" s="16">
        <f>+S96*$M$3/'COST DATA'!$D$26</f>
        <v>1.7262721379300801</v>
      </c>
      <c r="W96" s="16">
        <f t="shared" si="49"/>
        <v>1.1448671562899998E-2</v>
      </c>
      <c r="X96" s="27">
        <f t="shared" si="50"/>
        <v>32.130000000000003</v>
      </c>
      <c r="Y96" s="4">
        <f t="shared" si="51"/>
        <v>12.011583011583012</v>
      </c>
      <c r="Z96" s="4">
        <f>+(S96/$S$3)*('Finished goods'!$Q$3*$S$1)</f>
        <v>0.5417553253428572</v>
      </c>
      <c r="AA96" s="4">
        <f>+'Finished goods'!$O$3*'Project Orto'!T96</f>
        <v>0.21720508795114082</v>
      </c>
      <c r="AB96" s="4"/>
      <c r="AC96" s="7">
        <f t="shared" si="52"/>
        <v>46.638264234369991</v>
      </c>
    </row>
    <row r="97" spans="1:29" x14ac:dyDescent="0.3">
      <c r="A97" s="243"/>
      <c r="B97" s="21" t="s">
        <v>123</v>
      </c>
      <c r="C97" s="4" t="str">
        <f t="shared" si="48"/>
        <v>Bicchiere colonna twist1</v>
      </c>
      <c r="D97" s="5">
        <f>VLOOKUP($C97,'Finished goods'!$A$5:$Q$27,2,FALSE)</f>
        <v>1</v>
      </c>
      <c r="E97" s="5">
        <f>VLOOKUP($C97,'Finished goods'!$A$5:$Q$27,3,FALSE)</f>
        <v>1</v>
      </c>
      <c r="F97" s="5">
        <f>VLOOKUP($C97,'Finished goods'!$A$5:$Q$27,4,FALSE)</f>
        <v>0.57999999999999996</v>
      </c>
      <c r="G97" s="5">
        <f>VLOOKUP($C97,'Finished goods'!$A$5:$Q$27,5,FALSE)</f>
        <v>58</v>
      </c>
      <c r="H97" s="8">
        <f>VLOOKUP($C97,'Finished goods'!$A$5:$Q$27,6,FALSE)</f>
        <v>9.7981700000000004E-5</v>
      </c>
      <c r="I97" s="9">
        <f>VLOOKUP($C97,'Finished goods'!$A$5:$Q$27,7,FALSE)</f>
        <v>0.27217138888888892</v>
      </c>
      <c r="J97" s="9">
        <f>VLOOKUP($C97,'Finished goods'!$A$5:$Q$27,8,FALSE)</f>
        <v>0.24495425000000001</v>
      </c>
      <c r="R97" s="23">
        <v>12</v>
      </c>
      <c r="S97" s="6">
        <f t="shared" si="45"/>
        <v>696</v>
      </c>
      <c r="T97" s="6">
        <f t="shared" si="46"/>
        <v>3.2660566666666671</v>
      </c>
      <c r="U97" s="4">
        <f t="shared" si="47"/>
        <v>2.939451</v>
      </c>
      <c r="V97" s="16">
        <f>+S97*$M$3/'COST DATA'!$D$26</f>
        <v>5.8896343529379198</v>
      </c>
      <c r="W97" s="16">
        <f t="shared" si="49"/>
        <v>1.9955932839000001E-2</v>
      </c>
      <c r="X97" s="27">
        <f t="shared" si="50"/>
        <v>109.62000000000002</v>
      </c>
      <c r="Y97" s="4">
        <f t="shared" si="51"/>
        <v>40.980694980694977</v>
      </c>
      <c r="Z97" s="4">
        <f>+(S97/$S$3)*('Finished goods'!$Q$3*$S$1)</f>
        <v>1.8483416982285714</v>
      </c>
      <c r="AA97" s="4">
        <f>+'Finished goods'!$O$3*'Project Orto'!T97</f>
        <v>0.37860551100865886</v>
      </c>
      <c r="AB97" s="4"/>
      <c r="AC97" s="7">
        <f t="shared" si="52"/>
        <v>158.73723247570913</v>
      </c>
    </row>
    <row r="98" spans="1:29" x14ac:dyDescent="0.3">
      <c r="A98" s="243"/>
      <c r="B98" s="21" t="s">
        <v>123</v>
      </c>
      <c r="C98" s="4" t="str">
        <f t="shared" si="48"/>
        <v>Bicchiere colonna twist2</v>
      </c>
      <c r="D98" s="5">
        <f>VLOOKUP($C98,'Finished goods'!$A$5:$Q$27,2,FALSE)</f>
        <v>1</v>
      </c>
      <c r="E98" s="5">
        <f>VLOOKUP($C98,'Finished goods'!$A$5:$Q$27,3,FALSE)</f>
        <v>1</v>
      </c>
      <c r="F98" s="5">
        <f>VLOOKUP($C98,'Finished goods'!$A$5:$Q$27,4,FALSE)</f>
        <v>0.59</v>
      </c>
      <c r="G98" s="5">
        <f>VLOOKUP($C98,'Finished goods'!$A$5:$Q$27,5,FALSE)</f>
        <v>59</v>
      </c>
      <c r="H98" s="8">
        <f>VLOOKUP($C98,'Finished goods'!$A$5:$Q$27,6,FALSE)</f>
        <v>9.7982366999999995E-5</v>
      </c>
      <c r="I98" s="9">
        <f>VLOOKUP($C98,'Finished goods'!$A$5:$Q$27,7,FALSE)</f>
        <v>0.27217324166666662</v>
      </c>
      <c r="J98" s="9">
        <f>VLOOKUP($C98,'Finished goods'!$A$5:$Q$27,8,FALSE)</f>
        <v>0.24495591749999998</v>
      </c>
      <c r="R98" s="23">
        <v>12</v>
      </c>
      <c r="S98" s="6">
        <f t="shared" si="45"/>
        <v>708</v>
      </c>
      <c r="T98" s="6">
        <f t="shared" si="46"/>
        <v>3.2660788999999992</v>
      </c>
      <c r="U98" s="4">
        <f t="shared" si="47"/>
        <v>2.9394710099999997</v>
      </c>
      <c r="V98" s="16">
        <f>+S98*$M$3/'COST DATA'!$D$26</f>
        <v>5.9911797728161593</v>
      </c>
      <c r="W98" s="16">
        <f t="shared" si="49"/>
        <v>1.9956068686889997E-2</v>
      </c>
      <c r="X98" s="27">
        <f t="shared" si="50"/>
        <v>111.51000000000002</v>
      </c>
      <c r="Y98" s="4">
        <f t="shared" si="51"/>
        <v>41.687258687258691</v>
      </c>
      <c r="Z98" s="4">
        <f>+(S98/$S$3)*('Finished goods'!$Q$3*$S$1)</f>
        <v>1.8802096585428572</v>
      </c>
      <c r="AA98" s="4">
        <f>+'Finished goods'!$O$3*'Project Orto'!T98</f>
        <v>0.37860808832540094</v>
      </c>
      <c r="AB98" s="4"/>
      <c r="AC98" s="7">
        <f t="shared" si="52"/>
        <v>161.46721227563</v>
      </c>
    </row>
    <row r="99" spans="1:29" x14ac:dyDescent="0.3">
      <c r="A99" s="243"/>
      <c r="B99" s="21" t="s">
        <v>123</v>
      </c>
      <c r="C99" s="4" t="str">
        <f t="shared" si="48"/>
        <v>Bicchiere colonna twist3</v>
      </c>
      <c r="D99" s="5">
        <f>VLOOKUP($C99,'Finished goods'!$A$5:$Q$27,2,FALSE)</f>
        <v>1</v>
      </c>
      <c r="E99" s="5">
        <f>VLOOKUP($C99,'Finished goods'!$A$5:$Q$27,3,FALSE)</f>
        <v>1</v>
      </c>
      <c r="F99" s="5">
        <f>VLOOKUP($C99,'Finished goods'!$A$5:$Q$27,4,FALSE)</f>
        <v>0.59</v>
      </c>
      <c r="G99" s="5">
        <f>VLOOKUP($C99,'Finished goods'!$A$5:$Q$27,5,FALSE)</f>
        <v>59</v>
      </c>
      <c r="H99" s="8">
        <f>VLOOKUP($C99,'Finished goods'!$A$5:$Q$27,6,FALSE)</f>
        <v>9.7984652999999995E-5</v>
      </c>
      <c r="I99" s="9">
        <f>VLOOKUP($C99,'Finished goods'!$A$5:$Q$27,7,FALSE)</f>
        <v>0.27217959166666666</v>
      </c>
      <c r="J99" s="9">
        <f>VLOOKUP($C99,'Finished goods'!$A$5:$Q$27,8,FALSE)</f>
        <v>0.2449616325</v>
      </c>
      <c r="R99" s="23">
        <v>12</v>
      </c>
      <c r="S99" s="6">
        <f t="shared" si="45"/>
        <v>708</v>
      </c>
      <c r="T99" s="6">
        <f t="shared" si="46"/>
        <v>3.2661550999999998</v>
      </c>
      <c r="U99" s="4">
        <f t="shared" si="47"/>
        <v>2.9395395899999999</v>
      </c>
      <c r="V99" s="16">
        <f>+S99*$M$3/'COST DATA'!$D$26</f>
        <v>5.9911797728161593</v>
      </c>
      <c r="W99" s="16">
        <f t="shared" si="49"/>
        <v>1.995653427651E-2</v>
      </c>
      <c r="X99" s="27">
        <f t="shared" si="50"/>
        <v>111.51000000000002</v>
      </c>
      <c r="Y99" s="4">
        <f t="shared" si="51"/>
        <v>41.687258687258691</v>
      </c>
      <c r="Z99" s="4">
        <f>+(S99/$S$3)*('Finished goods'!$Q$3*$S$1)</f>
        <v>1.8802096585428572</v>
      </c>
      <c r="AA99" s="4">
        <f>+'Finished goods'!$O$3*'Project Orto'!T99</f>
        <v>0.37861692152790888</v>
      </c>
      <c r="AB99" s="4"/>
      <c r="AC99" s="7">
        <f t="shared" si="52"/>
        <v>161.46722157442215</v>
      </c>
    </row>
    <row r="100" spans="1:29" x14ac:dyDescent="0.3">
      <c r="A100" s="244"/>
      <c r="B100" s="21" t="s">
        <v>123</v>
      </c>
      <c r="C100" s="4" t="str">
        <f t="shared" si="48"/>
        <v>Bicchiere colonna twist alto</v>
      </c>
      <c r="D100" s="5">
        <f>VLOOKUP($C100,'Finished goods'!$A$5:$Q$27,2,FALSE)</f>
        <v>1</v>
      </c>
      <c r="E100" s="5">
        <f>VLOOKUP($C100,'Finished goods'!$A$5:$Q$27,3,FALSE)</f>
        <v>1</v>
      </c>
      <c r="F100" s="5">
        <f>VLOOKUP($C100,'Finished goods'!$A$5:$Q$27,4,FALSE)</f>
        <v>0.57999999999999996</v>
      </c>
      <c r="G100" s="5">
        <f>VLOOKUP($C100,'Finished goods'!$A$5:$Q$27,5,FALSE)</f>
        <v>58</v>
      </c>
      <c r="H100" s="8">
        <f>VLOOKUP($C100,'Finished goods'!$A$5:$Q$27,6,FALSE)</f>
        <v>9.4065272999999995E-5</v>
      </c>
      <c r="I100" s="9">
        <f>VLOOKUP($C100,'Finished goods'!$A$5:$Q$27,7,FALSE)</f>
        <v>0.26129242499999999</v>
      </c>
      <c r="J100" s="9">
        <f>VLOOKUP($C100,'Finished goods'!$A$5:$Q$27,8,FALSE)</f>
        <v>0.23516318249999998</v>
      </c>
      <c r="R100" s="23">
        <v>12</v>
      </c>
      <c r="S100" s="6">
        <f t="shared" si="45"/>
        <v>696</v>
      </c>
      <c r="T100" s="6">
        <f t="shared" si="46"/>
        <v>3.1355091000000002</v>
      </c>
      <c r="U100" s="4">
        <f t="shared" si="47"/>
        <v>2.8219581899999997</v>
      </c>
      <c r="V100" s="16">
        <f>+S100*$M$3/'COST DATA'!$D$26</f>
        <v>5.8896343529379198</v>
      </c>
      <c r="W100" s="16">
        <f t="shared" si="49"/>
        <v>1.9158274151909998E-2</v>
      </c>
      <c r="X100" s="27">
        <f t="shared" si="50"/>
        <v>109.62000000000002</v>
      </c>
      <c r="Y100" s="4">
        <f t="shared" si="51"/>
        <v>40.980694980694977</v>
      </c>
      <c r="Z100" s="4">
        <f>+(S100/$S$3)*('Finished goods'!$Q$3*$S$1)</f>
        <v>1.8483416982285714</v>
      </c>
      <c r="AA100" s="4">
        <f>+'Finished goods'!$O$3*'Project Orto'!T100</f>
        <v>0.36347226831473628</v>
      </c>
      <c r="AB100" s="4"/>
      <c r="AC100" s="7">
        <f t="shared" si="52"/>
        <v>158.72130157432812</v>
      </c>
    </row>
    <row r="103" spans="1:29" ht="18" x14ac:dyDescent="0.35">
      <c r="D103" s="237" t="s">
        <v>40</v>
      </c>
      <c r="E103" s="237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4" t="s">
        <v>32</v>
      </c>
      <c r="S103" s="47">
        <f>+S105/60/7</f>
        <v>10.357142857142858</v>
      </c>
      <c r="T103" t="s">
        <v>83</v>
      </c>
    </row>
    <row r="104" spans="1:29" x14ac:dyDescent="0.3">
      <c r="D104" s="236" t="s">
        <v>33</v>
      </c>
      <c r="E104" s="236"/>
      <c r="F104" s="236"/>
      <c r="G104" s="236"/>
      <c r="H104" s="236"/>
      <c r="I104" s="236"/>
      <c r="J104" s="236"/>
      <c r="M104" s="236" t="s">
        <v>36</v>
      </c>
      <c r="N104" s="236"/>
      <c r="O104" s="236"/>
      <c r="P104" s="236"/>
      <c r="Q104" s="236"/>
      <c r="V104" s="241" t="s">
        <v>41</v>
      </c>
      <c r="W104" s="241"/>
      <c r="X104" s="241"/>
      <c r="Y104" s="241"/>
      <c r="Z104" s="241"/>
      <c r="AA104" s="241"/>
      <c r="AB104" s="241"/>
      <c r="AC104" s="241"/>
    </row>
    <row r="105" spans="1:29" ht="18" x14ac:dyDescent="0.35">
      <c r="F105" s="225" t="s">
        <v>44</v>
      </c>
      <c r="G105" s="225"/>
      <c r="I105" s="20">
        <f>SUBTOTAL(9,I107:I117)</f>
        <v>6.7672086749999991</v>
      </c>
      <c r="J105" s="20">
        <f>SUBTOTAL(9,J107:J117)</f>
        <v>6.0904878074999997</v>
      </c>
      <c r="K105" s="1">
        <f>+'Finished goods'!$I$3</f>
        <v>2500</v>
      </c>
      <c r="L105" s="1">
        <f>+'Finished goods'!$J$3</f>
        <v>0.9</v>
      </c>
      <c r="M105" s="15">
        <f>+'Finished goods'!$K$3</f>
        <v>0.50772709939119998</v>
      </c>
      <c r="N105" s="15">
        <f>+'Finished goods'!$L$3</f>
        <v>6.7889999999999999E-3</v>
      </c>
      <c r="O105" s="13">
        <f>+'Finished goods'!$M$3</f>
        <v>0.15750000000000003</v>
      </c>
      <c r="P105" s="46">
        <f>+'Finished goods'!$N$3</f>
        <v>5.8880308880308881E-2</v>
      </c>
      <c r="Q105" s="1"/>
      <c r="S105" s="17">
        <f t="shared" ref="S105:AC105" si="53">SUBTOTAL(9,S107:S117)</f>
        <v>4350</v>
      </c>
      <c r="T105" s="17">
        <f t="shared" si="53"/>
        <v>33.717334016666669</v>
      </c>
      <c r="U105" s="17">
        <f t="shared" si="53"/>
        <v>30.345600615000002</v>
      </c>
      <c r="V105" s="18">
        <f t="shared" si="53"/>
        <v>36.810214705862002</v>
      </c>
      <c r="W105" s="18">
        <f t="shared" si="53"/>
        <v>0.20601628257523499</v>
      </c>
      <c r="X105" s="18">
        <f t="shared" si="53"/>
        <v>685.125</v>
      </c>
      <c r="Y105" s="18">
        <f t="shared" si="53"/>
        <v>256.12934362934362</v>
      </c>
      <c r="Z105" s="18">
        <f t="shared" si="53"/>
        <v>11.552135613928572</v>
      </c>
      <c r="AA105" s="18">
        <f t="shared" si="53"/>
        <v>3.9085569474390782</v>
      </c>
      <c r="AB105" s="18">
        <f t="shared" si="53"/>
        <v>0</v>
      </c>
      <c r="AC105" s="19">
        <f t="shared" si="53"/>
        <v>993.73126717914852</v>
      </c>
    </row>
    <row r="106" spans="1:29" x14ac:dyDescent="0.3">
      <c r="A106" s="1" t="s">
        <v>145</v>
      </c>
      <c r="B106" s="1" t="s">
        <v>30</v>
      </c>
      <c r="C106" s="1" t="s">
        <v>0</v>
      </c>
      <c r="D106" s="1" t="s">
        <v>4</v>
      </c>
      <c r="E106" s="1" t="s">
        <v>5</v>
      </c>
      <c r="F106" s="1" t="s">
        <v>45</v>
      </c>
      <c r="G106" s="1" t="s">
        <v>57</v>
      </c>
      <c r="H106" s="1" t="s">
        <v>6</v>
      </c>
      <c r="I106" s="1" t="s">
        <v>2</v>
      </c>
      <c r="J106" s="1" t="s">
        <v>7</v>
      </c>
      <c r="K106" s="1" t="s">
        <v>31</v>
      </c>
      <c r="L106" s="1" t="s">
        <v>8</v>
      </c>
      <c r="M106" s="1" t="s">
        <v>34</v>
      </c>
      <c r="N106" s="1" t="s">
        <v>35</v>
      </c>
      <c r="O106" s="1" t="s">
        <v>37</v>
      </c>
      <c r="P106" s="1" t="s">
        <v>79</v>
      </c>
      <c r="Q106" s="1" t="s">
        <v>38</v>
      </c>
      <c r="R106" s="1" t="s">
        <v>39</v>
      </c>
      <c r="S106" s="2" t="s">
        <v>43</v>
      </c>
      <c r="T106" s="2" t="s">
        <v>2</v>
      </c>
      <c r="U106" s="2" t="s">
        <v>7</v>
      </c>
      <c r="V106" s="2">
        <f>+'Finished goods'!K106</f>
        <v>0</v>
      </c>
      <c r="W106" s="2">
        <f>+'Finished goods'!L106</f>
        <v>0</v>
      </c>
      <c r="X106" s="2">
        <f>+'Finished goods'!M106</f>
        <v>0</v>
      </c>
      <c r="Y106" s="2">
        <f>+'Finished goods'!N106</f>
        <v>0</v>
      </c>
      <c r="Z106" s="2">
        <f>+'Finished goods'!Q106</f>
        <v>0</v>
      </c>
      <c r="AA106" s="3" t="s">
        <v>111</v>
      </c>
      <c r="AB106" s="3" t="s">
        <v>115</v>
      </c>
      <c r="AC106" s="3" t="s">
        <v>42</v>
      </c>
    </row>
    <row r="107" spans="1:29" ht="14.4" customHeight="1" x14ac:dyDescent="0.3">
      <c r="A107" s="242" t="s">
        <v>417</v>
      </c>
      <c r="B107" s="21" t="s">
        <v>123</v>
      </c>
      <c r="C107" s="4" t="str">
        <f>+C90</f>
        <v>Bicchiere curve dritto</v>
      </c>
      <c r="D107" s="5">
        <f>VLOOKUP($C107,'Finished goods'!$A$5:$Q$27,2,FALSE)</f>
        <v>2</v>
      </c>
      <c r="E107" s="5">
        <f>VLOOKUP($C107,'Finished goods'!$A$5:$Q$27,3,FALSE)</f>
        <v>2</v>
      </c>
      <c r="F107" s="5">
        <f>VLOOKUP($C107,'Finished goods'!$A$5:$Q$27,4,FALSE)</f>
        <v>0.26</v>
      </c>
      <c r="G107" s="5">
        <f>VLOOKUP($C107,'Finished goods'!$A$5:$Q$27,5,FALSE)</f>
        <v>26</v>
      </c>
      <c r="H107" s="8">
        <f>VLOOKUP($C107,'Finished goods'!$A$5:$Q$27,6,FALSE)</f>
        <v>1.6928511099999999E-4</v>
      </c>
      <c r="I107" s="9">
        <f>VLOOKUP($C107,'Finished goods'!$A$5:$Q$27,7,FALSE)</f>
        <v>0.47023641944444439</v>
      </c>
      <c r="J107" s="9">
        <f>VLOOKUP($C107,'Finished goods'!$A$5:$Q$27,8,FALSE)</f>
        <v>0.42321277749999997</v>
      </c>
      <c r="R107" s="23">
        <v>12</v>
      </c>
      <c r="S107" s="6">
        <f t="shared" ref="S107:S117" si="54">+G107*$R107</f>
        <v>312</v>
      </c>
      <c r="T107" s="6">
        <f t="shared" ref="T107:T117" si="55">+I107*$R107</f>
        <v>5.6428370333333326</v>
      </c>
      <c r="U107" s="4">
        <f t="shared" ref="U107:U117" si="56">+J107*$R107</f>
        <v>5.0785533300000001</v>
      </c>
      <c r="V107" s="16">
        <f>+S107*$M$3/'COST DATA'!$D$26</f>
        <v>2.6401809168342401</v>
      </c>
      <c r="W107" s="16">
        <f>+U107*$N$3</f>
        <v>3.4478298557370002E-2</v>
      </c>
      <c r="X107" s="27">
        <f>+S107*$O$3</f>
        <v>49.140000000000008</v>
      </c>
      <c r="Y107" s="4">
        <f>+S107*$P$3</f>
        <v>18.37065637065637</v>
      </c>
      <c r="Z107" s="4">
        <f>+(S107/$S$3)*('Finished goods'!$Q$3*$S$1)</f>
        <v>0.82856696817142861</v>
      </c>
      <c r="AA107" s="4">
        <f>+'Finished goods'!$O$3*'Project Orto'!T107</f>
        <v>0.65412496370559525</v>
      </c>
      <c r="AB107" s="4"/>
      <c r="AC107" s="7">
        <f>+V107+W107+X107+Y107+Z107+AA107+AB107</f>
        <v>71.668007517925005</v>
      </c>
    </row>
    <row r="108" spans="1:29" x14ac:dyDescent="0.3">
      <c r="A108" s="243"/>
      <c r="B108" s="21" t="s">
        <v>123</v>
      </c>
      <c r="C108" s="4" t="str">
        <f t="shared" ref="C108:C117" si="57">+C91</f>
        <v>Bicchiere curve twist</v>
      </c>
      <c r="D108" s="5">
        <f>VLOOKUP($C108,'Finished goods'!$A$5:$Q$27,2,FALSE)</f>
        <v>2</v>
      </c>
      <c r="E108" s="5">
        <f>VLOOKUP($C108,'Finished goods'!$A$5:$Q$27,3,FALSE)</f>
        <v>2</v>
      </c>
      <c r="F108" s="5">
        <f>VLOOKUP($C108,'Finished goods'!$A$5:$Q$27,4,FALSE)</f>
        <v>0.25</v>
      </c>
      <c r="G108" s="5">
        <f>VLOOKUP($C108,'Finished goods'!$A$5:$Q$27,5,FALSE)</f>
        <v>25</v>
      </c>
      <c r="H108" s="8">
        <f>VLOOKUP($C108,'Finished goods'!$A$5:$Q$27,6,FALSE)</f>
        <v>1.69285896E-4</v>
      </c>
      <c r="I108" s="9">
        <f>VLOOKUP($C108,'Finished goods'!$A$5:$Q$27,7,FALSE)</f>
        <v>0.47023859999999995</v>
      </c>
      <c r="J108" s="9">
        <f>VLOOKUP($C108,'Finished goods'!$A$5:$Q$27,8,FALSE)</f>
        <v>0.42321473999999998</v>
      </c>
      <c r="R108" s="23">
        <v>12</v>
      </c>
      <c r="S108" s="6">
        <f t="shared" si="54"/>
        <v>300</v>
      </c>
      <c r="T108" s="6">
        <f t="shared" si="55"/>
        <v>5.642863199999999</v>
      </c>
      <c r="U108" s="4">
        <f t="shared" si="56"/>
        <v>5.07857688</v>
      </c>
      <c r="V108" s="16">
        <f>+S108*$M$3/'COST DATA'!$D$26</f>
        <v>2.5386354969559997</v>
      </c>
      <c r="W108" s="16">
        <f t="shared" ref="W108:W117" si="58">+U108*$N$3</f>
        <v>3.4478458438320002E-2</v>
      </c>
      <c r="X108" s="27">
        <f t="shared" ref="X108:X117" si="59">+S108*$O$3</f>
        <v>47.250000000000007</v>
      </c>
      <c r="Y108" s="4">
        <f t="shared" ref="Y108:Y117" si="60">+S108*$P$3</f>
        <v>17.664092664092664</v>
      </c>
      <c r="Z108" s="4">
        <f>+(S108/$S$3)*('Finished goods'!$Q$3*$S$1)</f>
        <v>0.79669900785714287</v>
      </c>
      <c r="AA108" s="4">
        <f>+'Finished goods'!$O$3*'Project Orto'!T108</f>
        <v>0.65412799697942225</v>
      </c>
      <c r="AB108" s="4"/>
      <c r="AC108" s="7">
        <f t="shared" ref="AC108:AC117" si="61">+V108+W108+X108+Y108+Z108+AA108+AB108</f>
        <v>68.938033624323552</v>
      </c>
    </row>
    <row r="109" spans="1:29" x14ac:dyDescent="0.3">
      <c r="A109" s="243"/>
      <c r="B109" s="21" t="s">
        <v>123</v>
      </c>
      <c r="C109" s="4" t="str">
        <f t="shared" si="57"/>
        <v>Caraffa curva</v>
      </c>
      <c r="D109" s="5">
        <f>VLOOKUP($C109,'Finished goods'!$A$5:$Q$27,2,FALSE)</f>
        <v>2</v>
      </c>
      <c r="E109" s="5">
        <f>VLOOKUP($C109,'Finished goods'!$A$5:$Q$27,3,FALSE)</f>
        <v>2</v>
      </c>
      <c r="F109" s="5">
        <f>VLOOKUP($C109,'Finished goods'!$A$5:$Q$27,4,FALSE)</f>
        <v>0.56999999999999995</v>
      </c>
      <c r="G109" s="5">
        <f>VLOOKUP($C109,'Finished goods'!$A$5:$Q$27,5,FALSE)</f>
        <v>57</v>
      </c>
      <c r="H109" s="8">
        <f>VLOOKUP($C109,'Finished goods'!$A$5:$Q$27,6,FALSE)</f>
        <v>3.69342133E-4</v>
      </c>
      <c r="I109" s="9">
        <f>VLOOKUP($C109,'Finished goods'!$A$5:$Q$27,7,FALSE)</f>
        <v>1.0259503694444445</v>
      </c>
      <c r="J109" s="9">
        <f>VLOOKUP($C109,'Finished goods'!$A$5:$Q$27,8,FALSE)</f>
        <v>0.92335533250000001</v>
      </c>
      <c r="R109" s="23">
        <v>2</v>
      </c>
      <c r="S109" s="6">
        <f t="shared" si="54"/>
        <v>114</v>
      </c>
      <c r="T109" s="6">
        <f t="shared" si="55"/>
        <v>2.051900738888889</v>
      </c>
      <c r="U109" s="4">
        <f t="shared" si="56"/>
        <v>1.846710665</v>
      </c>
      <c r="V109" s="16">
        <f>+S109*$M$3/'COST DATA'!$D$26</f>
        <v>0.96468148884327987</v>
      </c>
      <c r="W109" s="16">
        <f t="shared" si="58"/>
        <v>1.2537318704685E-2</v>
      </c>
      <c r="X109" s="27">
        <f t="shared" si="59"/>
        <v>17.955000000000002</v>
      </c>
      <c r="Y109" s="4">
        <f t="shared" si="60"/>
        <v>6.7123552123552122</v>
      </c>
      <c r="Z109" s="4">
        <f>+(S109/$S$3)*('Finished goods'!$Q$3*$S$1)</f>
        <v>0.30274562298571428</v>
      </c>
      <c r="AA109" s="4">
        <f>+'Finished goods'!$O$3*'Project Orto'!T109</f>
        <v>0.23785898625541477</v>
      </c>
      <c r="AB109" s="4"/>
      <c r="AC109" s="7">
        <f t="shared" si="61"/>
        <v>26.185178629144307</v>
      </c>
    </row>
    <row r="110" spans="1:29" x14ac:dyDescent="0.3">
      <c r="A110" s="243"/>
      <c r="B110" s="21" t="s">
        <v>123</v>
      </c>
      <c r="C110" s="4" t="str">
        <f t="shared" si="57"/>
        <v>Caraffa colonna dritta</v>
      </c>
      <c r="D110" s="5">
        <f>VLOOKUP($C110,'Finished goods'!$A$5:$Q$27,2,FALSE)</f>
        <v>2</v>
      </c>
      <c r="E110" s="5">
        <f>VLOOKUP($C110,'Finished goods'!$A$5:$Q$27,3,FALSE)</f>
        <v>1</v>
      </c>
      <c r="F110" s="5">
        <f>VLOOKUP($C110,'Finished goods'!$A$5:$Q$27,4,FALSE)</f>
        <v>1.4</v>
      </c>
      <c r="G110" s="5">
        <f>VLOOKUP($C110,'Finished goods'!$A$5:$Q$27,5,FALSE)</f>
        <v>100</v>
      </c>
      <c r="H110" s="8">
        <f>VLOOKUP($C110,'Finished goods'!$A$5:$Q$27,6,FALSE)</f>
        <v>3.2796365999999998E-4</v>
      </c>
      <c r="I110" s="9">
        <f>VLOOKUP($C110,'Finished goods'!$A$5:$Q$27,7,FALSE)</f>
        <v>0.91101016666666657</v>
      </c>
      <c r="J110" s="9">
        <f>VLOOKUP($C110,'Finished goods'!$A$5:$Q$27,8,FALSE)</f>
        <v>0.81990914999999998</v>
      </c>
      <c r="R110" s="23">
        <v>2</v>
      </c>
      <c r="S110" s="6">
        <f t="shared" si="54"/>
        <v>200</v>
      </c>
      <c r="T110" s="6">
        <f t="shared" si="55"/>
        <v>1.8220203333333331</v>
      </c>
      <c r="U110" s="4">
        <f t="shared" si="56"/>
        <v>1.6398183</v>
      </c>
      <c r="V110" s="16">
        <f>+S110*$M$3/'COST DATA'!$D$26</f>
        <v>1.6924236646373332</v>
      </c>
      <c r="W110" s="16">
        <f t="shared" si="58"/>
        <v>1.1132726438699999E-2</v>
      </c>
      <c r="X110" s="27">
        <f t="shared" si="59"/>
        <v>31.500000000000007</v>
      </c>
      <c r="Y110" s="4">
        <f t="shared" si="60"/>
        <v>11.776061776061777</v>
      </c>
      <c r="Z110" s="4">
        <f>+(S110/$S$3)*('Finished goods'!$Q$3*$S$1)</f>
        <v>0.53113267190476188</v>
      </c>
      <c r="AA110" s="4">
        <f>+'Finished goods'!$O$3*'Project Orto'!T110</f>
        <v>0.21121095246454188</v>
      </c>
      <c r="AB110" s="4"/>
      <c r="AC110" s="7">
        <f t="shared" si="61"/>
        <v>45.72196179150712</v>
      </c>
    </row>
    <row r="111" spans="1:29" x14ac:dyDescent="0.3">
      <c r="A111" s="243"/>
      <c r="B111" s="21" t="s">
        <v>123</v>
      </c>
      <c r="C111" s="4" t="str">
        <f t="shared" si="57"/>
        <v>Caraffa colonna twist1</v>
      </c>
      <c r="D111" s="5">
        <f>VLOOKUP($C111,'Finished goods'!$A$5:$Q$27,2,FALSE)</f>
        <v>2</v>
      </c>
      <c r="E111" s="5">
        <f>VLOOKUP($C111,'Finished goods'!$A$5:$Q$27,3,FALSE)</f>
        <v>1</v>
      </c>
      <c r="F111" s="5">
        <f>VLOOKUP($C111,'Finished goods'!$A$5:$Q$27,4,FALSE)</f>
        <v>1.41</v>
      </c>
      <c r="G111" s="5">
        <f>VLOOKUP($C111,'Finished goods'!$A$5:$Q$27,5,FALSE)</f>
        <v>101</v>
      </c>
      <c r="H111" s="8">
        <f>VLOOKUP($C111,'Finished goods'!$A$5:$Q$27,6,FALSE)</f>
        <v>3.323221E-4</v>
      </c>
      <c r="I111" s="9">
        <f>VLOOKUP($C111,'Finished goods'!$A$5:$Q$27,7,FALSE)</f>
        <v>0.92311694444444448</v>
      </c>
      <c r="J111" s="9">
        <f>VLOOKUP($C111,'Finished goods'!$A$5:$Q$27,8,FALSE)</f>
        <v>0.83080525000000005</v>
      </c>
      <c r="R111" s="23">
        <v>2</v>
      </c>
      <c r="S111" s="6">
        <f t="shared" si="54"/>
        <v>202</v>
      </c>
      <c r="T111" s="6">
        <f t="shared" si="55"/>
        <v>1.846233888888889</v>
      </c>
      <c r="U111" s="4">
        <f t="shared" si="56"/>
        <v>1.6616105000000001</v>
      </c>
      <c r="V111" s="16">
        <f>+S111*$M$3/'COST DATA'!$D$26</f>
        <v>1.7093479012837065</v>
      </c>
      <c r="W111" s="16">
        <f t="shared" si="58"/>
        <v>1.12806736845E-2</v>
      </c>
      <c r="X111" s="27">
        <f t="shared" si="59"/>
        <v>31.815000000000005</v>
      </c>
      <c r="Y111" s="4">
        <f t="shared" si="60"/>
        <v>11.893822393822393</v>
      </c>
      <c r="Z111" s="4">
        <f>+(S111/$S$3)*('Finished goods'!$Q$3*$S$1)</f>
        <v>0.53644399862380954</v>
      </c>
      <c r="AA111" s="4">
        <f>+'Finished goods'!$O$3*'Project Orto'!T111</f>
        <v>0.21401781912671894</v>
      </c>
      <c r="AB111" s="4"/>
      <c r="AC111" s="7">
        <f t="shared" si="61"/>
        <v>46.179912786541131</v>
      </c>
    </row>
    <row r="112" spans="1:29" x14ac:dyDescent="0.3">
      <c r="A112" s="243"/>
      <c r="B112" s="21" t="s">
        <v>123</v>
      </c>
      <c r="C112" s="4" t="str">
        <f t="shared" si="57"/>
        <v>Caraffa colonna twist2</v>
      </c>
      <c r="D112" s="5">
        <f>VLOOKUP($C112,'Finished goods'!$A$5:$Q$27,2,FALSE)</f>
        <v>2</v>
      </c>
      <c r="E112" s="5">
        <f>VLOOKUP($C112,'Finished goods'!$A$5:$Q$27,3,FALSE)</f>
        <v>1</v>
      </c>
      <c r="F112" s="5">
        <f>VLOOKUP($C112,'Finished goods'!$A$5:$Q$27,4,FALSE)</f>
        <v>1.45</v>
      </c>
      <c r="G112" s="5">
        <f>VLOOKUP($C112,'Finished goods'!$A$5:$Q$27,5,FALSE)</f>
        <v>105</v>
      </c>
      <c r="H112" s="8">
        <f>VLOOKUP($C112,'Finished goods'!$A$5:$Q$27,6,FALSE)</f>
        <v>3.4271101000000001E-4</v>
      </c>
      <c r="I112" s="9">
        <f>VLOOKUP($C112,'Finished goods'!$A$5:$Q$27,7,FALSE)</f>
        <v>0.95197502777777776</v>
      </c>
      <c r="J112" s="9">
        <f>VLOOKUP($C112,'Finished goods'!$A$5:$Q$27,8,FALSE)</f>
        <v>0.85677752500000004</v>
      </c>
      <c r="R112" s="23">
        <v>2</v>
      </c>
      <c r="S112" s="6">
        <f t="shared" si="54"/>
        <v>210</v>
      </c>
      <c r="T112" s="6">
        <f t="shared" si="55"/>
        <v>1.9039500555555555</v>
      </c>
      <c r="U112" s="4">
        <f t="shared" si="56"/>
        <v>1.7135550500000001</v>
      </c>
      <c r="V112" s="16">
        <f>+S112*$M$3/'COST DATA'!$D$26</f>
        <v>1.7770448478691998</v>
      </c>
      <c r="W112" s="16">
        <f t="shared" si="58"/>
        <v>1.1633325234450001E-2</v>
      </c>
      <c r="X112" s="27">
        <f t="shared" si="59"/>
        <v>33.075000000000003</v>
      </c>
      <c r="Y112" s="4">
        <f t="shared" si="60"/>
        <v>12.364864864864865</v>
      </c>
      <c r="Z112" s="4">
        <f>+(S112/$S$3)*('Finished goods'!$Q$3*$S$1)</f>
        <v>0.55768930550000007</v>
      </c>
      <c r="AA112" s="4">
        <f>+'Finished goods'!$O$3*'Project Orto'!T112</f>
        <v>0.22070835177953907</v>
      </c>
      <c r="AB112" s="4"/>
      <c r="AC112" s="7">
        <f t="shared" si="61"/>
        <v>48.006940695248055</v>
      </c>
    </row>
    <row r="113" spans="1:29" x14ac:dyDescent="0.3">
      <c r="A113" s="243"/>
      <c r="B113" s="21" t="s">
        <v>123</v>
      </c>
      <c r="C113" s="4" t="str">
        <f t="shared" si="57"/>
        <v>Caraffa colonna twist3</v>
      </c>
      <c r="D113" s="5">
        <f>VLOOKUP($C113,'Finished goods'!$A$5:$Q$27,2,FALSE)</f>
        <v>2</v>
      </c>
      <c r="E113" s="5">
        <f>VLOOKUP($C113,'Finished goods'!$A$5:$Q$27,3,FALSE)</f>
        <v>1</v>
      </c>
      <c r="F113" s="5">
        <f>VLOOKUP($C113,'Finished goods'!$A$5:$Q$27,4,FALSE)</f>
        <v>1.42</v>
      </c>
      <c r="G113" s="5">
        <f>VLOOKUP($C113,'Finished goods'!$A$5:$Q$27,5,FALSE)</f>
        <v>102</v>
      </c>
      <c r="H113" s="8">
        <f>VLOOKUP($C113,'Finished goods'!$A$5:$Q$27,6,FALSE)</f>
        <v>3.3727121999999998E-4</v>
      </c>
      <c r="I113" s="9">
        <f>VLOOKUP($C113,'Finished goods'!$A$5:$Q$27,7,FALSE)</f>
        <v>0.93686449999999988</v>
      </c>
      <c r="J113" s="9">
        <f>VLOOKUP($C113,'Finished goods'!$A$5:$Q$27,8,FALSE)</f>
        <v>0.8431780499999999</v>
      </c>
      <c r="R113" s="23">
        <v>2</v>
      </c>
      <c r="S113" s="6">
        <f t="shared" si="54"/>
        <v>204</v>
      </c>
      <c r="T113" s="6">
        <f t="shared" si="55"/>
        <v>1.8737289999999998</v>
      </c>
      <c r="U113" s="4">
        <f t="shared" si="56"/>
        <v>1.6863560999999998</v>
      </c>
      <c r="V113" s="16">
        <f>+S113*$M$3/'COST DATA'!$D$26</f>
        <v>1.7262721379300801</v>
      </c>
      <c r="W113" s="16">
        <f t="shared" si="58"/>
        <v>1.1448671562899998E-2</v>
      </c>
      <c r="X113" s="27">
        <f t="shared" si="59"/>
        <v>32.130000000000003</v>
      </c>
      <c r="Y113" s="4">
        <f t="shared" si="60"/>
        <v>12.011583011583012</v>
      </c>
      <c r="Z113" s="4">
        <f>+(S113/$S$3)*('Finished goods'!$Q$3*$S$1)</f>
        <v>0.5417553253428572</v>
      </c>
      <c r="AA113" s="4">
        <f>+'Finished goods'!$O$3*'Project Orto'!T113</f>
        <v>0.21720508795114082</v>
      </c>
      <c r="AB113" s="4"/>
      <c r="AC113" s="7">
        <f t="shared" si="61"/>
        <v>46.638264234369991</v>
      </c>
    </row>
    <row r="114" spans="1:29" x14ac:dyDescent="0.3">
      <c r="A114" s="243"/>
      <c r="B114" s="21" t="s">
        <v>123</v>
      </c>
      <c r="C114" s="4" t="str">
        <f t="shared" si="57"/>
        <v>Bicchiere colonna twist1</v>
      </c>
      <c r="D114" s="5">
        <f>VLOOKUP($C114,'Finished goods'!$A$5:$Q$27,2,FALSE)</f>
        <v>1</v>
      </c>
      <c r="E114" s="5">
        <f>VLOOKUP($C114,'Finished goods'!$A$5:$Q$27,3,FALSE)</f>
        <v>1</v>
      </c>
      <c r="F114" s="5">
        <f>VLOOKUP($C114,'Finished goods'!$A$5:$Q$27,4,FALSE)</f>
        <v>0.57999999999999996</v>
      </c>
      <c r="G114" s="5">
        <f>VLOOKUP($C114,'Finished goods'!$A$5:$Q$27,5,FALSE)</f>
        <v>58</v>
      </c>
      <c r="H114" s="8">
        <f>VLOOKUP($C114,'Finished goods'!$A$5:$Q$27,6,FALSE)</f>
        <v>9.7981700000000004E-5</v>
      </c>
      <c r="I114" s="9">
        <f>VLOOKUP($C114,'Finished goods'!$A$5:$Q$27,7,FALSE)</f>
        <v>0.27217138888888892</v>
      </c>
      <c r="J114" s="9">
        <f>VLOOKUP($C114,'Finished goods'!$A$5:$Q$27,8,FALSE)</f>
        <v>0.24495425000000001</v>
      </c>
      <c r="R114" s="23">
        <v>12</v>
      </c>
      <c r="S114" s="6">
        <f t="shared" si="54"/>
        <v>696</v>
      </c>
      <c r="T114" s="6">
        <f t="shared" si="55"/>
        <v>3.2660566666666671</v>
      </c>
      <c r="U114" s="4">
        <f t="shared" si="56"/>
        <v>2.939451</v>
      </c>
      <c r="V114" s="16">
        <f>+S114*$M$3/'COST DATA'!$D$26</f>
        <v>5.8896343529379198</v>
      </c>
      <c r="W114" s="16">
        <f t="shared" si="58"/>
        <v>1.9955932839000001E-2</v>
      </c>
      <c r="X114" s="27">
        <f t="shared" si="59"/>
        <v>109.62000000000002</v>
      </c>
      <c r="Y114" s="4">
        <f t="shared" si="60"/>
        <v>40.980694980694977</v>
      </c>
      <c r="Z114" s="4">
        <f>+(S114/$S$3)*('Finished goods'!$Q$3*$S$1)</f>
        <v>1.8483416982285714</v>
      </c>
      <c r="AA114" s="4">
        <f>+'Finished goods'!$O$3*'Project Orto'!T114</f>
        <v>0.37860551100865886</v>
      </c>
      <c r="AB114" s="4"/>
      <c r="AC114" s="7">
        <f t="shared" si="61"/>
        <v>158.73723247570913</v>
      </c>
    </row>
    <row r="115" spans="1:29" x14ac:dyDescent="0.3">
      <c r="A115" s="243"/>
      <c r="B115" s="21" t="s">
        <v>123</v>
      </c>
      <c r="C115" s="4" t="str">
        <f t="shared" si="57"/>
        <v>Bicchiere colonna twist2</v>
      </c>
      <c r="D115" s="5">
        <f>VLOOKUP($C115,'Finished goods'!$A$5:$Q$27,2,FALSE)</f>
        <v>1</v>
      </c>
      <c r="E115" s="5">
        <f>VLOOKUP($C115,'Finished goods'!$A$5:$Q$27,3,FALSE)</f>
        <v>1</v>
      </c>
      <c r="F115" s="5">
        <f>VLOOKUP($C115,'Finished goods'!$A$5:$Q$27,4,FALSE)</f>
        <v>0.59</v>
      </c>
      <c r="G115" s="5">
        <f>VLOOKUP($C115,'Finished goods'!$A$5:$Q$27,5,FALSE)</f>
        <v>59</v>
      </c>
      <c r="H115" s="8">
        <f>VLOOKUP($C115,'Finished goods'!$A$5:$Q$27,6,FALSE)</f>
        <v>9.7982366999999995E-5</v>
      </c>
      <c r="I115" s="9">
        <f>VLOOKUP($C115,'Finished goods'!$A$5:$Q$27,7,FALSE)</f>
        <v>0.27217324166666662</v>
      </c>
      <c r="J115" s="9">
        <f>VLOOKUP($C115,'Finished goods'!$A$5:$Q$27,8,FALSE)</f>
        <v>0.24495591749999998</v>
      </c>
      <c r="R115" s="23">
        <v>12</v>
      </c>
      <c r="S115" s="6">
        <f t="shared" si="54"/>
        <v>708</v>
      </c>
      <c r="T115" s="6">
        <f t="shared" si="55"/>
        <v>3.2660788999999992</v>
      </c>
      <c r="U115" s="4">
        <f t="shared" si="56"/>
        <v>2.9394710099999997</v>
      </c>
      <c r="V115" s="16">
        <f>+S115*$M$3/'COST DATA'!$D$26</f>
        <v>5.9911797728161593</v>
      </c>
      <c r="W115" s="16">
        <f t="shared" si="58"/>
        <v>1.9956068686889997E-2</v>
      </c>
      <c r="X115" s="27">
        <f t="shared" si="59"/>
        <v>111.51000000000002</v>
      </c>
      <c r="Y115" s="4">
        <f t="shared" si="60"/>
        <v>41.687258687258691</v>
      </c>
      <c r="Z115" s="4">
        <f>+(S115/$S$3)*('Finished goods'!$Q$3*$S$1)</f>
        <v>1.8802096585428572</v>
      </c>
      <c r="AA115" s="4">
        <f>+'Finished goods'!$O$3*'Project Orto'!T115</f>
        <v>0.37860808832540094</v>
      </c>
      <c r="AB115" s="4"/>
      <c r="AC115" s="7">
        <f t="shared" si="61"/>
        <v>161.46721227563</v>
      </c>
    </row>
    <row r="116" spans="1:29" x14ac:dyDescent="0.3">
      <c r="A116" s="243"/>
      <c r="B116" s="21" t="s">
        <v>123</v>
      </c>
      <c r="C116" s="4" t="str">
        <f t="shared" si="57"/>
        <v>Bicchiere colonna twist3</v>
      </c>
      <c r="D116" s="5">
        <f>VLOOKUP($C116,'Finished goods'!$A$5:$Q$27,2,FALSE)</f>
        <v>1</v>
      </c>
      <c r="E116" s="5">
        <f>VLOOKUP($C116,'Finished goods'!$A$5:$Q$27,3,FALSE)</f>
        <v>1</v>
      </c>
      <c r="F116" s="5">
        <f>VLOOKUP($C116,'Finished goods'!$A$5:$Q$27,4,FALSE)</f>
        <v>0.59</v>
      </c>
      <c r="G116" s="5">
        <f>VLOOKUP($C116,'Finished goods'!$A$5:$Q$27,5,FALSE)</f>
        <v>59</v>
      </c>
      <c r="H116" s="8">
        <f>VLOOKUP($C116,'Finished goods'!$A$5:$Q$27,6,FALSE)</f>
        <v>9.7984652999999995E-5</v>
      </c>
      <c r="I116" s="9">
        <f>VLOOKUP($C116,'Finished goods'!$A$5:$Q$27,7,FALSE)</f>
        <v>0.27217959166666666</v>
      </c>
      <c r="J116" s="9">
        <f>VLOOKUP($C116,'Finished goods'!$A$5:$Q$27,8,FALSE)</f>
        <v>0.2449616325</v>
      </c>
      <c r="R116" s="23">
        <v>12</v>
      </c>
      <c r="S116" s="6">
        <f t="shared" si="54"/>
        <v>708</v>
      </c>
      <c r="T116" s="6">
        <f t="shared" si="55"/>
        <v>3.2661550999999998</v>
      </c>
      <c r="U116" s="4">
        <f t="shared" si="56"/>
        <v>2.9395395899999999</v>
      </c>
      <c r="V116" s="16">
        <f>+S116*$M$3/'COST DATA'!$D$26</f>
        <v>5.9911797728161593</v>
      </c>
      <c r="W116" s="16">
        <f t="shared" si="58"/>
        <v>1.995653427651E-2</v>
      </c>
      <c r="X116" s="27">
        <f t="shared" si="59"/>
        <v>111.51000000000002</v>
      </c>
      <c r="Y116" s="4">
        <f t="shared" si="60"/>
        <v>41.687258687258691</v>
      </c>
      <c r="Z116" s="4">
        <f>+(S116/$S$3)*('Finished goods'!$Q$3*$S$1)</f>
        <v>1.8802096585428572</v>
      </c>
      <c r="AA116" s="4">
        <f>+'Finished goods'!$O$3*'Project Orto'!T116</f>
        <v>0.37861692152790888</v>
      </c>
      <c r="AB116" s="4"/>
      <c r="AC116" s="7">
        <f t="shared" si="61"/>
        <v>161.46722157442215</v>
      </c>
    </row>
    <row r="117" spans="1:29" x14ac:dyDescent="0.3">
      <c r="A117" s="244"/>
      <c r="B117" s="21" t="s">
        <v>123</v>
      </c>
      <c r="C117" s="4" t="str">
        <f t="shared" si="57"/>
        <v>Bicchiere colonna twist alto</v>
      </c>
      <c r="D117" s="5">
        <f>VLOOKUP($C117,'Finished goods'!$A$5:$Q$27,2,FALSE)</f>
        <v>1</v>
      </c>
      <c r="E117" s="5">
        <f>VLOOKUP($C117,'Finished goods'!$A$5:$Q$27,3,FALSE)</f>
        <v>1</v>
      </c>
      <c r="F117" s="5">
        <f>VLOOKUP($C117,'Finished goods'!$A$5:$Q$27,4,FALSE)</f>
        <v>0.57999999999999996</v>
      </c>
      <c r="G117" s="5">
        <f>VLOOKUP($C117,'Finished goods'!$A$5:$Q$27,5,FALSE)</f>
        <v>58</v>
      </c>
      <c r="H117" s="8">
        <f>VLOOKUP($C117,'Finished goods'!$A$5:$Q$27,6,FALSE)</f>
        <v>9.4065272999999995E-5</v>
      </c>
      <c r="I117" s="9">
        <f>VLOOKUP($C117,'Finished goods'!$A$5:$Q$27,7,FALSE)</f>
        <v>0.26129242499999999</v>
      </c>
      <c r="J117" s="9">
        <f>VLOOKUP($C117,'Finished goods'!$A$5:$Q$27,8,FALSE)</f>
        <v>0.23516318249999998</v>
      </c>
      <c r="R117" s="23">
        <v>12</v>
      </c>
      <c r="S117" s="6">
        <f t="shared" si="54"/>
        <v>696</v>
      </c>
      <c r="T117" s="6">
        <f t="shared" si="55"/>
        <v>3.1355091000000002</v>
      </c>
      <c r="U117" s="4">
        <f t="shared" si="56"/>
        <v>2.8219581899999997</v>
      </c>
      <c r="V117" s="16">
        <f>+S117*$M$3/'COST DATA'!$D$26</f>
        <v>5.8896343529379198</v>
      </c>
      <c r="W117" s="16">
        <f t="shared" si="58"/>
        <v>1.9158274151909998E-2</v>
      </c>
      <c r="X117" s="27">
        <f t="shared" si="59"/>
        <v>109.62000000000002</v>
      </c>
      <c r="Y117" s="4">
        <f t="shared" si="60"/>
        <v>40.980694980694977</v>
      </c>
      <c r="Z117" s="4">
        <f>+(S117/$S$3)*('Finished goods'!$Q$3*$S$1)</f>
        <v>1.8483416982285714</v>
      </c>
      <c r="AA117" s="4">
        <f>+'Finished goods'!$O$3*'Project Orto'!T117</f>
        <v>0.36347226831473628</v>
      </c>
      <c r="AB117" s="4"/>
      <c r="AC117" s="7">
        <f t="shared" si="61"/>
        <v>158.72130157432812</v>
      </c>
    </row>
    <row r="120" spans="1:29" ht="18" x14ac:dyDescent="0.35">
      <c r="D120" s="237" t="s">
        <v>40</v>
      </c>
      <c r="E120" s="237"/>
      <c r="F120" s="237"/>
      <c r="G120" s="237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4" t="s">
        <v>32</v>
      </c>
      <c r="S120" s="47">
        <f>+S122/60/7</f>
        <v>10.357142857142858</v>
      </c>
      <c r="T120" t="s">
        <v>83</v>
      </c>
    </row>
    <row r="121" spans="1:29" x14ac:dyDescent="0.3">
      <c r="D121" s="236" t="s">
        <v>33</v>
      </c>
      <c r="E121" s="236"/>
      <c r="F121" s="236"/>
      <c r="G121" s="236"/>
      <c r="H121" s="236"/>
      <c r="I121" s="236"/>
      <c r="J121" s="236"/>
      <c r="M121" s="236" t="s">
        <v>36</v>
      </c>
      <c r="N121" s="236"/>
      <c r="O121" s="236"/>
      <c r="P121" s="236"/>
      <c r="Q121" s="236"/>
      <c r="V121" s="241" t="s">
        <v>41</v>
      </c>
      <c r="W121" s="241"/>
      <c r="X121" s="241"/>
      <c r="Y121" s="241"/>
      <c r="Z121" s="241"/>
      <c r="AA121" s="241"/>
      <c r="AB121" s="241"/>
      <c r="AC121" s="241"/>
    </row>
    <row r="122" spans="1:29" ht="18" x14ac:dyDescent="0.35">
      <c r="F122" s="225" t="s">
        <v>44</v>
      </c>
      <c r="G122" s="225"/>
      <c r="I122" s="20">
        <f>SUBTOTAL(9,I124:I134)</f>
        <v>6.7672086749999991</v>
      </c>
      <c r="J122" s="20">
        <f>SUBTOTAL(9,J124:J134)</f>
        <v>6.0904878074999997</v>
      </c>
      <c r="K122" s="1">
        <f>+'Finished goods'!$I$3</f>
        <v>2500</v>
      </c>
      <c r="L122" s="1">
        <f>+'Finished goods'!$J$3</f>
        <v>0.9</v>
      </c>
      <c r="M122" s="15">
        <f>+'Finished goods'!$K$3</f>
        <v>0.50772709939119998</v>
      </c>
      <c r="N122" s="15">
        <f>+'Finished goods'!$L$3</f>
        <v>6.7889999999999999E-3</v>
      </c>
      <c r="O122" s="13">
        <f>+'Finished goods'!$M$3</f>
        <v>0.15750000000000003</v>
      </c>
      <c r="P122" s="46">
        <f>+'Finished goods'!$N$3</f>
        <v>5.8880308880308881E-2</v>
      </c>
      <c r="Q122" s="1"/>
      <c r="S122" s="17">
        <f t="shared" ref="S122:AC122" si="62">SUBTOTAL(9,S124:S134)</f>
        <v>4350</v>
      </c>
      <c r="T122" s="17">
        <f t="shared" si="62"/>
        <v>33.717334016666669</v>
      </c>
      <c r="U122" s="17">
        <f t="shared" si="62"/>
        <v>30.345600615000002</v>
      </c>
      <c r="V122" s="18">
        <f t="shared" si="62"/>
        <v>36.810214705862002</v>
      </c>
      <c r="W122" s="18">
        <f t="shared" si="62"/>
        <v>0.20601628257523499</v>
      </c>
      <c r="X122" s="18">
        <f t="shared" si="62"/>
        <v>685.125</v>
      </c>
      <c r="Y122" s="18">
        <f t="shared" si="62"/>
        <v>256.12934362934362</v>
      </c>
      <c r="Z122" s="18">
        <f t="shared" si="62"/>
        <v>11.552135613928572</v>
      </c>
      <c r="AA122" s="18">
        <f t="shared" si="62"/>
        <v>3.9085569474390782</v>
      </c>
      <c r="AB122" s="18">
        <f t="shared" si="62"/>
        <v>0</v>
      </c>
      <c r="AC122" s="19">
        <f t="shared" si="62"/>
        <v>993.73126717914852</v>
      </c>
    </row>
    <row r="123" spans="1:29" x14ac:dyDescent="0.3">
      <c r="A123" s="1" t="s">
        <v>145</v>
      </c>
      <c r="B123" s="1" t="s">
        <v>30</v>
      </c>
      <c r="C123" s="1" t="s">
        <v>0</v>
      </c>
      <c r="D123" s="1" t="s">
        <v>4</v>
      </c>
      <c r="E123" s="1" t="s">
        <v>5</v>
      </c>
      <c r="F123" s="1" t="s">
        <v>45</v>
      </c>
      <c r="G123" s="1" t="s">
        <v>57</v>
      </c>
      <c r="H123" s="1" t="s">
        <v>6</v>
      </c>
      <c r="I123" s="1" t="s">
        <v>2</v>
      </c>
      <c r="J123" s="1" t="s">
        <v>7</v>
      </c>
      <c r="K123" s="1" t="s">
        <v>31</v>
      </c>
      <c r="L123" s="1" t="s">
        <v>8</v>
      </c>
      <c r="M123" s="1" t="s">
        <v>34</v>
      </c>
      <c r="N123" s="1" t="s">
        <v>35</v>
      </c>
      <c r="O123" s="1" t="s">
        <v>37</v>
      </c>
      <c r="P123" s="1" t="s">
        <v>79</v>
      </c>
      <c r="Q123" s="1" t="s">
        <v>38</v>
      </c>
      <c r="R123" s="1" t="s">
        <v>39</v>
      </c>
      <c r="S123" s="2" t="s">
        <v>43</v>
      </c>
      <c r="T123" s="2" t="s">
        <v>2</v>
      </c>
      <c r="U123" s="2" t="s">
        <v>7</v>
      </c>
      <c r="V123" s="2">
        <f>+'Finished goods'!K123</f>
        <v>0</v>
      </c>
      <c r="W123" s="2">
        <f>+'Finished goods'!L123</f>
        <v>0</v>
      </c>
      <c r="X123" s="2">
        <f>+'Finished goods'!M123</f>
        <v>0</v>
      </c>
      <c r="Y123" s="2">
        <f>+'Finished goods'!N123</f>
        <v>0</v>
      </c>
      <c r="Z123" s="2">
        <f>+'Finished goods'!Q123</f>
        <v>0</v>
      </c>
      <c r="AA123" s="3" t="s">
        <v>111</v>
      </c>
      <c r="AB123" s="3" t="s">
        <v>115</v>
      </c>
      <c r="AC123" s="3" t="s">
        <v>42</v>
      </c>
    </row>
    <row r="124" spans="1:29" ht="14.4" customHeight="1" x14ac:dyDescent="0.3">
      <c r="A124" s="242" t="s">
        <v>418</v>
      </c>
      <c r="B124" s="21" t="s">
        <v>123</v>
      </c>
      <c r="C124" s="4" t="str">
        <f>+C107</f>
        <v>Bicchiere curve dritto</v>
      </c>
      <c r="D124" s="5">
        <f>VLOOKUP($C124,'Finished goods'!$A$5:$Q$27,2,FALSE)</f>
        <v>2</v>
      </c>
      <c r="E124" s="5">
        <f>VLOOKUP($C124,'Finished goods'!$A$5:$Q$27,3,FALSE)</f>
        <v>2</v>
      </c>
      <c r="F124" s="5">
        <f>VLOOKUP($C124,'Finished goods'!$A$5:$Q$27,4,FALSE)</f>
        <v>0.26</v>
      </c>
      <c r="G124" s="5">
        <f>VLOOKUP($C124,'Finished goods'!$A$5:$Q$27,5,FALSE)</f>
        <v>26</v>
      </c>
      <c r="H124" s="8">
        <f>VLOOKUP($C124,'Finished goods'!$A$5:$Q$27,6,FALSE)</f>
        <v>1.6928511099999999E-4</v>
      </c>
      <c r="I124" s="9">
        <f>VLOOKUP($C124,'Finished goods'!$A$5:$Q$27,7,FALSE)</f>
        <v>0.47023641944444439</v>
      </c>
      <c r="J124" s="9">
        <f>VLOOKUP($C124,'Finished goods'!$A$5:$Q$27,8,FALSE)</f>
        <v>0.42321277749999997</v>
      </c>
      <c r="R124" s="23">
        <v>12</v>
      </c>
      <c r="S124" s="6">
        <f t="shared" ref="S124:S134" si="63">+G124*$R124</f>
        <v>312</v>
      </c>
      <c r="T124" s="6">
        <f t="shared" ref="T124:T134" si="64">+I124*$R124</f>
        <v>5.6428370333333326</v>
      </c>
      <c r="U124" s="4">
        <f t="shared" ref="U124:U134" si="65">+J124*$R124</f>
        <v>5.0785533300000001</v>
      </c>
      <c r="V124" s="16">
        <f>+S124*$M$3/'COST DATA'!$D$26</f>
        <v>2.6401809168342401</v>
      </c>
      <c r="W124" s="16">
        <f>+U124*$N$3</f>
        <v>3.4478298557370002E-2</v>
      </c>
      <c r="X124" s="27">
        <f>+S124*$O$3</f>
        <v>49.140000000000008</v>
      </c>
      <c r="Y124" s="4">
        <f>+S124*$P$3</f>
        <v>18.37065637065637</v>
      </c>
      <c r="Z124" s="4">
        <f>+(S124/$S$3)*('Finished goods'!$Q$3*$S$1)</f>
        <v>0.82856696817142861</v>
      </c>
      <c r="AA124" s="4">
        <f>+'Finished goods'!$O$3*'Project Orto'!T124</f>
        <v>0.65412496370559525</v>
      </c>
      <c r="AB124" s="4"/>
      <c r="AC124" s="7">
        <f>+V124+W124+X124+Y124+Z124+AA124+AB124</f>
        <v>71.668007517925005</v>
      </c>
    </row>
    <row r="125" spans="1:29" x14ac:dyDescent="0.3">
      <c r="A125" s="243"/>
      <c r="B125" s="21" t="s">
        <v>123</v>
      </c>
      <c r="C125" s="4" t="str">
        <f t="shared" ref="C125:C134" si="66">+C108</f>
        <v>Bicchiere curve twist</v>
      </c>
      <c r="D125" s="5">
        <f>VLOOKUP($C125,'Finished goods'!$A$5:$Q$27,2,FALSE)</f>
        <v>2</v>
      </c>
      <c r="E125" s="5">
        <f>VLOOKUP($C125,'Finished goods'!$A$5:$Q$27,3,FALSE)</f>
        <v>2</v>
      </c>
      <c r="F125" s="5">
        <f>VLOOKUP($C125,'Finished goods'!$A$5:$Q$27,4,FALSE)</f>
        <v>0.25</v>
      </c>
      <c r="G125" s="5">
        <f>VLOOKUP($C125,'Finished goods'!$A$5:$Q$27,5,FALSE)</f>
        <v>25</v>
      </c>
      <c r="H125" s="8">
        <f>VLOOKUP($C125,'Finished goods'!$A$5:$Q$27,6,FALSE)</f>
        <v>1.69285896E-4</v>
      </c>
      <c r="I125" s="9">
        <f>VLOOKUP($C125,'Finished goods'!$A$5:$Q$27,7,FALSE)</f>
        <v>0.47023859999999995</v>
      </c>
      <c r="J125" s="9">
        <f>VLOOKUP($C125,'Finished goods'!$A$5:$Q$27,8,FALSE)</f>
        <v>0.42321473999999998</v>
      </c>
      <c r="R125" s="23">
        <v>12</v>
      </c>
      <c r="S125" s="6">
        <f t="shared" si="63"/>
        <v>300</v>
      </c>
      <c r="T125" s="6">
        <f t="shared" si="64"/>
        <v>5.642863199999999</v>
      </c>
      <c r="U125" s="4">
        <f t="shared" si="65"/>
        <v>5.07857688</v>
      </c>
      <c r="V125" s="16">
        <f>+S125*$M$3/'COST DATA'!$D$26</f>
        <v>2.5386354969559997</v>
      </c>
      <c r="W125" s="16">
        <f t="shared" ref="W125:W134" si="67">+U125*$N$3</f>
        <v>3.4478458438320002E-2</v>
      </c>
      <c r="X125" s="27">
        <f t="shared" ref="X125:X134" si="68">+S125*$O$3</f>
        <v>47.250000000000007</v>
      </c>
      <c r="Y125" s="4">
        <f t="shared" ref="Y125:Y134" si="69">+S125*$P$3</f>
        <v>17.664092664092664</v>
      </c>
      <c r="Z125" s="4">
        <f>+(S125/$S$3)*('Finished goods'!$Q$3*$S$1)</f>
        <v>0.79669900785714287</v>
      </c>
      <c r="AA125" s="4">
        <f>+'Finished goods'!$O$3*'Project Orto'!T125</f>
        <v>0.65412799697942225</v>
      </c>
      <c r="AB125" s="4"/>
      <c r="AC125" s="7">
        <f t="shared" ref="AC125:AC134" si="70">+V125+W125+X125+Y125+Z125+AA125+AB125</f>
        <v>68.938033624323552</v>
      </c>
    </row>
    <row r="126" spans="1:29" x14ac:dyDescent="0.3">
      <c r="A126" s="243"/>
      <c r="B126" s="21" t="s">
        <v>123</v>
      </c>
      <c r="C126" s="4" t="str">
        <f t="shared" si="66"/>
        <v>Caraffa curva</v>
      </c>
      <c r="D126" s="5">
        <f>VLOOKUP($C126,'Finished goods'!$A$5:$Q$27,2,FALSE)</f>
        <v>2</v>
      </c>
      <c r="E126" s="5">
        <f>VLOOKUP($C126,'Finished goods'!$A$5:$Q$27,3,FALSE)</f>
        <v>2</v>
      </c>
      <c r="F126" s="5">
        <f>VLOOKUP($C126,'Finished goods'!$A$5:$Q$27,4,FALSE)</f>
        <v>0.56999999999999995</v>
      </c>
      <c r="G126" s="5">
        <f>VLOOKUP($C126,'Finished goods'!$A$5:$Q$27,5,FALSE)</f>
        <v>57</v>
      </c>
      <c r="H126" s="8">
        <f>VLOOKUP($C126,'Finished goods'!$A$5:$Q$27,6,FALSE)</f>
        <v>3.69342133E-4</v>
      </c>
      <c r="I126" s="9">
        <f>VLOOKUP($C126,'Finished goods'!$A$5:$Q$27,7,FALSE)</f>
        <v>1.0259503694444445</v>
      </c>
      <c r="J126" s="9">
        <f>VLOOKUP($C126,'Finished goods'!$A$5:$Q$27,8,FALSE)</f>
        <v>0.92335533250000001</v>
      </c>
      <c r="R126" s="23">
        <v>2</v>
      </c>
      <c r="S126" s="6">
        <f t="shared" si="63"/>
        <v>114</v>
      </c>
      <c r="T126" s="6">
        <f t="shared" si="64"/>
        <v>2.051900738888889</v>
      </c>
      <c r="U126" s="4">
        <f t="shared" si="65"/>
        <v>1.846710665</v>
      </c>
      <c r="V126" s="16">
        <f>+S126*$M$3/'COST DATA'!$D$26</f>
        <v>0.96468148884327987</v>
      </c>
      <c r="W126" s="16">
        <f t="shared" si="67"/>
        <v>1.2537318704685E-2</v>
      </c>
      <c r="X126" s="27">
        <f t="shared" si="68"/>
        <v>17.955000000000002</v>
      </c>
      <c r="Y126" s="4">
        <f t="shared" si="69"/>
        <v>6.7123552123552122</v>
      </c>
      <c r="Z126" s="4">
        <f>+(S126/$S$3)*('Finished goods'!$Q$3*$S$1)</f>
        <v>0.30274562298571428</v>
      </c>
      <c r="AA126" s="4">
        <f>+'Finished goods'!$O$3*'Project Orto'!T126</f>
        <v>0.23785898625541477</v>
      </c>
      <c r="AB126" s="4"/>
      <c r="AC126" s="7">
        <f t="shared" si="70"/>
        <v>26.185178629144307</v>
      </c>
    </row>
    <row r="127" spans="1:29" x14ac:dyDescent="0.3">
      <c r="A127" s="243"/>
      <c r="B127" s="21" t="s">
        <v>123</v>
      </c>
      <c r="C127" s="4" t="str">
        <f t="shared" si="66"/>
        <v>Caraffa colonna dritta</v>
      </c>
      <c r="D127" s="5">
        <f>VLOOKUP($C127,'Finished goods'!$A$5:$Q$27,2,FALSE)</f>
        <v>2</v>
      </c>
      <c r="E127" s="5">
        <f>VLOOKUP($C127,'Finished goods'!$A$5:$Q$27,3,FALSE)</f>
        <v>1</v>
      </c>
      <c r="F127" s="5">
        <f>VLOOKUP($C127,'Finished goods'!$A$5:$Q$27,4,FALSE)</f>
        <v>1.4</v>
      </c>
      <c r="G127" s="5">
        <f>VLOOKUP($C127,'Finished goods'!$A$5:$Q$27,5,FALSE)</f>
        <v>100</v>
      </c>
      <c r="H127" s="8">
        <f>VLOOKUP($C127,'Finished goods'!$A$5:$Q$27,6,FALSE)</f>
        <v>3.2796365999999998E-4</v>
      </c>
      <c r="I127" s="9">
        <f>VLOOKUP($C127,'Finished goods'!$A$5:$Q$27,7,FALSE)</f>
        <v>0.91101016666666657</v>
      </c>
      <c r="J127" s="9">
        <f>VLOOKUP($C127,'Finished goods'!$A$5:$Q$27,8,FALSE)</f>
        <v>0.81990914999999998</v>
      </c>
      <c r="R127" s="23">
        <v>2</v>
      </c>
      <c r="S127" s="6">
        <f t="shared" si="63"/>
        <v>200</v>
      </c>
      <c r="T127" s="6">
        <f t="shared" si="64"/>
        <v>1.8220203333333331</v>
      </c>
      <c r="U127" s="4">
        <f t="shared" si="65"/>
        <v>1.6398183</v>
      </c>
      <c r="V127" s="16">
        <f>+S127*$M$3/'COST DATA'!$D$26</f>
        <v>1.6924236646373332</v>
      </c>
      <c r="W127" s="16">
        <f t="shared" si="67"/>
        <v>1.1132726438699999E-2</v>
      </c>
      <c r="X127" s="27">
        <f t="shared" si="68"/>
        <v>31.500000000000007</v>
      </c>
      <c r="Y127" s="4">
        <f t="shared" si="69"/>
        <v>11.776061776061777</v>
      </c>
      <c r="Z127" s="4">
        <f>+(S127/$S$3)*('Finished goods'!$Q$3*$S$1)</f>
        <v>0.53113267190476188</v>
      </c>
      <c r="AA127" s="4">
        <f>+'Finished goods'!$O$3*'Project Orto'!T127</f>
        <v>0.21121095246454188</v>
      </c>
      <c r="AB127" s="4"/>
      <c r="AC127" s="7">
        <f t="shared" si="70"/>
        <v>45.72196179150712</v>
      </c>
    </row>
    <row r="128" spans="1:29" x14ac:dyDescent="0.3">
      <c r="A128" s="243"/>
      <c r="B128" s="21" t="s">
        <v>123</v>
      </c>
      <c r="C128" s="4" t="str">
        <f t="shared" si="66"/>
        <v>Caraffa colonna twist1</v>
      </c>
      <c r="D128" s="5">
        <f>VLOOKUP($C128,'Finished goods'!$A$5:$Q$27,2,FALSE)</f>
        <v>2</v>
      </c>
      <c r="E128" s="5">
        <f>VLOOKUP($C128,'Finished goods'!$A$5:$Q$27,3,FALSE)</f>
        <v>1</v>
      </c>
      <c r="F128" s="5">
        <f>VLOOKUP($C128,'Finished goods'!$A$5:$Q$27,4,FALSE)</f>
        <v>1.41</v>
      </c>
      <c r="G128" s="5">
        <f>VLOOKUP($C128,'Finished goods'!$A$5:$Q$27,5,FALSE)</f>
        <v>101</v>
      </c>
      <c r="H128" s="8">
        <f>VLOOKUP($C128,'Finished goods'!$A$5:$Q$27,6,FALSE)</f>
        <v>3.323221E-4</v>
      </c>
      <c r="I128" s="9">
        <f>VLOOKUP($C128,'Finished goods'!$A$5:$Q$27,7,FALSE)</f>
        <v>0.92311694444444448</v>
      </c>
      <c r="J128" s="9">
        <f>VLOOKUP($C128,'Finished goods'!$A$5:$Q$27,8,FALSE)</f>
        <v>0.83080525000000005</v>
      </c>
      <c r="R128" s="23">
        <v>2</v>
      </c>
      <c r="S128" s="6">
        <f t="shared" si="63"/>
        <v>202</v>
      </c>
      <c r="T128" s="6">
        <f t="shared" si="64"/>
        <v>1.846233888888889</v>
      </c>
      <c r="U128" s="4">
        <f t="shared" si="65"/>
        <v>1.6616105000000001</v>
      </c>
      <c r="V128" s="16">
        <f>+S128*$M$3/'COST DATA'!$D$26</f>
        <v>1.7093479012837065</v>
      </c>
      <c r="W128" s="16">
        <f t="shared" si="67"/>
        <v>1.12806736845E-2</v>
      </c>
      <c r="X128" s="27">
        <f t="shared" si="68"/>
        <v>31.815000000000005</v>
      </c>
      <c r="Y128" s="4">
        <f t="shared" si="69"/>
        <v>11.893822393822393</v>
      </c>
      <c r="Z128" s="4">
        <f>+(S128/$S$3)*('Finished goods'!$Q$3*$S$1)</f>
        <v>0.53644399862380954</v>
      </c>
      <c r="AA128" s="4">
        <f>+'Finished goods'!$O$3*'Project Orto'!T128</f>
        <v>0.21401781912671894</v>
      </c>
      <c r="AB128" s="4"/>
      <c r="AC128" s="7">
        <f t="shared" si="70"/>
        <v>46.179912786541131</v>
      </c>
    </row>
    <row r="129" spans="1:29" x14ac:dyDescent="0.3">
      <c r="A129" s="243"/>
      <c r="B129" s="21" t="s">
        <v>123</v>
      </c>
      <c r="C129" s="4" t="str">
        <f t="shared" si="66"/>
        <v>Caraffa colonna twist2</v>
      </c>
      <c r="D129" s="5">
        <f>VLOOKUP($C129,'Finished goods'!$A$5:$Q$27,2,FALSE)</f>
        <v>2</v>
      </c>
      <c r="E129" s="5">
        <f>VLOOKUP($C129,'Finished goods'!$A$5:$Q$27,3,FALSE)</f>
        <v>1</v>
      </c>
      <c r="F129" s="5">
        <f>VLOOKUP($C129,'Finished goods'!$A$5:$Q$27,4,FALSE)</f>
        <v>1.45</v>
      </c>
      <c r="G129" s="5">
        <f>VLOOKUP($C129,'Finished goods'!$A$5:$Q$27,5,FALSE)</f>
        <v>105</v>
      </c>
      <c r="H129" s="8">
        <f>VLOOKUP($C129,'Finished goods'!$A$5:$Q$27,6,FALSE)</f>
        <v>3.4271101000000001E-4</v>
      </c>
      <c r="I129" s="9">
        <f>VLOOKUP($C129,'Finished goods'!$A$5:$Q$27,7,FALSE)</f>
        <v>0.95197502777777776</v>
      </c>
      <c r="J129" s="9">
        <f>VLOOKUP($C129,'Finished goods'!$A$5:$Q$27,8,FALSE)</f>
        <v>0.85677752500000004</v>
      </c>
      <c r="R129" s="23">
        <v>2</v>
      </c>
      <c r="S129" s="6">
        <f t="shared" si="63"/>
        <v>210</v>
      </c>
      <c r="T129" s="6">
        <f t="shared" si="64"/>
        <v>1.9039500555555555</v>
      </c>
      <c r="U129" s="4">
        <f t="shared" si="65"/>
        <v>1.7135550500000001</v>
      </c>
      <c r="V129" s="16">
        <f>+S129*$M$3/'COST DATA'!$D$26</f>
        <v>1.7770448478691998</v>
      </c>
      <c r="W129" s="16">
        <f t="shared" si="67"/>
        <v>1.1633325234450001E-2</v>
      </c>
      <c r="X129" s="27">
        <f t="shared" si="68"/>
        <v>33.075000000000003</v>
      </c>
      <c r="Y129" s="4">
        <f t="shared" si="69"/>
        <v>12.364864864864865</v>
      </c>
      <c r="Z129" s="4">
        <f>+(S129/$S$3)*('Finished goods'!$Q$3*$S$1)</f>
        <v>0.55768930550000007</v>
      </c>
      <c r="AA129" s="4">
        <f>+'Finished goods'!$O$3*'Project Orto'!T129</f>
        <v>0.22070835177953907</v>
      </c>
      <c r="AB129" s="4"/>
      <c r="AC129" s="7">
        <f t="shared" si="70"/>
        <v>48.006940695248055</v>
      </c>
    </row>
    <row r="130" spans="1:29" x14ac:dyDescent="0.3">
      <c r="A130" s="243"/>
      <c r="B130" s="21" t="s">
        <v>123</v>
      </c>
      <c r="C130" s="4" t="str">
        <f t="shared" si="66"/>
        <v>Caraffa colonna twist3</v>
      </c>
      <c r="D130" s="5">
        <f>VLOOKUP($C130,'Finished goods'!$A$5:$Q$27,2,FALSE)</f>
        <v>2</v>
      </c>
      <c r="E130" s="5">
        <f>VLOOKUP($C130,'Finished goods'!$A$5:$Q$27,3,FALSE)</f>
        <v>1</v>
      </c>
      <c r="F130" s="5">
        <f>VLOOKUP($C130,'Finished goods'!$A$5:$Q$27,4,FALSE)</f>
        <v>1.42</v>
      </c>
      <c r="G130" s="5">
        <f>VLOOKUP($C130,'Finished goods'!$A$5:$Q$27,5,FALSE)</f>
        <v>102</v>
      </c>
      <c r="H130" s="8">
        <f>VLOOKUP($C130,'Finished goods'!$A$5:$Q$27,6,FALSE)</f>
        <v>3.3727121999999998E-4</v>
      </c>
      <c r="I130" s="9">
        <f>VLOOKUP($C130,'Finished goods'!$A$5:$Q$27,7,FALSE)</f>
        <v>0.93686449999999988</v>
      </c>
      <c r="J130" s="9">
        <f>VLOOKUP($C130,'Finished goods'!$A$5:$Q$27,8,FALSE)</f>
        <v>0.8431780499999999</v>
      </c>
      <c r="R130" s="23">
        <v>2</v>
      </c>
      <c r="S130" s="6">
        <f t="shared" si="63"/>
        <v>204</v>
      </c>
      <c r="T130" s="6">
        <f t="shared" si="64"/>
        <v>1.8737289999999998</v>
      </c>
      <c r="U130" s="4">
        <f t="shared" si="65"/>
        <v>1.6863560999999998</v>
      </c>
      <c r="V130" s="16">
        <f>+S130*$M$3/'COST DATA'!$D$26</f>
        <v>1.7262721379300801</v>
      </c>
      <c r="W130" s="16">
        <f t="shared" si="67"/>
        <v>1.1448671562899998E-2</v>
      </c>
      <c r="X130" s="27">
        <f t="shared" si="68"/>
        <v>32.130000000000003</v>
      </c>
      <c r="Y130" s="4">
        <f t="shared" si="69"/>
        <v>12.011583011583012</v>
      </c>
      <c r="Z130" s="4">
        <f>+(S130/$S$3)*('Finished goods'!$Q$3*$S$1)</f>
        <v>0.5417553253428572</v>
      </c>
      <c r="AA130" s="4">
        <f>+'Finished goods'!$O$3*'Project Orto'!T130</f>
        <v>0.21720508795114082</v>
      </c>
      <c r="AB130" s="4"/>
      <c r="AC130" s="7">
        <f t="shared" si="70"/>
        <v>46.638264234369991</v>
      </c>
    </row>
    <row r="131" spans="1:29" x14ac:dyDescent="0.3">
      <c r="A131" s="243"/>
      <c r="B131" s="21" t="s">
        <v>123</v>
      </c>
      <c r="C131" s="4" t="str">
        <f t="shared" si="66"/>
        <v>Bicchiere colonna twist1</v>
      </c>
      <c r="D131" s="5">
        <f>VLOOKUP($C131,'Finished goods'!$A$5:$Q$27,2,FALSE)</f>
        <v>1</v>
      </c>
      <c r="E131" s="5">
        <f>VLOOKUP($C131,'Finished goods'!$A$5:$Q$27,3,FALSE)</f>
        <v>1</v>
      </c>
      <c r="F131" s="5">
        <f>VLOOKUP($C131,'Finished goods'!$A$5:$Q$27,4,FALSE)</f>
        <v>0.57999999999999996</v>
      </c>
      <c r="G131" s="5">
        <f>VLOOKUP($C131,'Finished goods'!$A$5:$Q$27,5,FALSE)</f>
        <v>58</v>
      </c>
      <c r="H131" s="8">
        <f>VLOOKUP($C131,'Finished goods'!$A$5:$Q$27,6,FALSE)</f>
        <v>9.7981700000000004E-5</v>
      </c>
      <c r="I131" s="9">
        <f>VLOOKUP($C131,'Finished goods'!$A$5:$Q$27,7,FALSE)</f>
        <v>0.27217138888888892</v>
      </c>
      <c r="J131" s="9">
        <f>VLOOKUP($C131,'Finished goods'!$A$5:$Q$27,8,FALSE)</f>
        <v>0.24495425000000001</v>
      </c>
      <c r="R131" s="23">
        <v>12</v>
      </c>
      <c r="S131" s="6">
        <f t="shared" si="63"/>
        <v>696</v>
      </c>
      <c r="T131" s="6">
        <f t="shared" si="64"/>
        <v>3.2660566666666671</v>
      </c>
      <c r="U131" s="4">
        <f t="shared" si="65"/>
        <v>2.939451</v>
      </c>
      <c r="V131" s="16">
        <f>+S131*$M$3/'COST DATA'!$D$26</f>
        <v>5.8896343529379198</v>
      </c>
      <c r="W131" s="16">
        <f t="shared" si="67"/>
        <v>1.9955932839000001E-2</v>
      </c>
      <c r="X131" s="27">
        <f t="shared" si="68"/>
        <v>109.62000000000002</v>
      </c>
      <c r="Y131" s="4">
        <f t="shared" si="69"/>
        <v>40.980694980694977</v>
      </c>
      <c r="Z131" s="4">
        <f>+(S131/$S$3)*('Finished goods'!$Q$3*$S$1)</f>
        <v>1.8483416982285714</v>
      </c>
      <c r="AA131" s="4">
        <f>+'Finished goods'!$O$3*'Project Orto'!T131</f>
        <v>0.37860551100865886</v>
      </c>
      <c r="AB131" s="4"/>
      <c r="AC131" s="7">
        <f t="shared" si="70"/>
        <v>158.73723247570913</v>
      </c>
    </row>
    <row r="132" spans="1:29" x14ac:dyDescent="0.3">
      <c r="A132" s="243"/>
      <c r="B132" s="21" t="s">
        <v>123</v>
      </c>
      <c r="C132" s="4" t="str">
        <f t="shared" si="66"/>
        <v>Bicchiere colonna twist2</v>
      </c>
      <c r="D132" s="5">
        <f>VLOOKUP($C132,'Finished goods'!$A$5:$Q$27,2,FALSE)</f>
        <v>1</v>
      </c>
      <c r="E132" s="5">
        <f>VLOOKUP($C132,'Finished goods'!$A$5:$Q$27,3,FALSE)</f>
        <v>1</v>
      </c>
      <c r="F132" s="5">
        <f>VLOOKUP($C132,'Finished goods'!$A$5:$Q$27,4,FALSE)</f>
        <v>0.59</v>
      </c>
      <c r="G132" s="5">
        <f>VLOOKUP($C132,'Finished goods'!$A$5:$Q$27,5,FALSE)</f>
        <v>59</v>
      </c>
      <c r="H132" s="8">
        <f>VLOOKUP($C132,'Finished goods'!$A$5:$Q$27,6,FALSE)</f>
        <v>9.7982366999999995E-5</v>
      </c>
      <c r="I132" s="9">
        <f>VLOOKUP($C132,'Finished goods'!$A$5:$Q$27,7,FALSE)</f>
        <v>0.27217324166666662</v>
      </c>
      <c r="J132" s="9">
        <f>VLOOKUP($C132,'Finished goods'!$A$5:$Q$27,8,FALSE)</f>
        <v>0.24495591749999998</v>
      </c>
      <c r="R132" s="23">
        <v>12</v>
      </c>
      <c r="S132" s="6">
        <f t="shared" si="63"/>
        <v>708</v>
      </c>
      <c r="T132" s="6">
        <f t="shared" si="64"/>
        <v>3.2660788999999992</v>
      </c>
      <c r="U132" s="4">
        <f t="shared" si="65"/>
        <v>2.9394710099999997</v>
      </c>
      <c r="V132" s="16">
        <f>+S132*$M$3/'COST DATA'!$D$26</f>
        <v>5.9911797728161593</v>
      </c>
      <c r="W132" s="16">
        <f t="shared" si="67"/>
        <v>1.9956068686889997E-2</v>
      </c>
      <c r="X132" s="27">
        <f t="shared" si="68"/>
        <v>111.51000000000002</v>
      </c>
      <c r="Y132" s="4">
        <f t="shared" si="69"/>
        <v>41.687258687258691</v>
      </c>
      <c r="Z132" s="4">
        <f>+(S132/$S$3)*('Finished goods'!$Q$3*$S$1)</f>
        <v>1.8802096585428572</v>
      </c>
      <c r="AA132" s="4">
        <f>+'Finished goods'!$O$3*'Project Orto'!T132</f>
        <v>0.37860808832540094</v>
      </c>
      <c r="AB132" s="4"/>
      <c r="AC132" s="7">
        <f t="shared" si="70"/>
        <v>161.46721227563</v>
      </c>
    </row>
    <row r="133" spans="1:29" x14ac:dyDescent="0.3">
      <c r="A133" s="243"/>
      <c r="B133" s="21" t="s">
        <v>123</v>
      </c>
      <c r="C133" s="4" t="str">
        <f t="shared" si="66"/>
        <v>Bicchiere colonna twist3</v>
      </c>
      <c r="D133" s="5">
        <f>VLOOKUP($C133,'Finished goods'!$A$5:$Q$27,2,FALSE)</f>
        <v>1</v>
      </c>
      <c r="E133" s="5">
        <f>VLOOKUP($C133,'Finished goods'!$A$5:$Q$27,3,FALSE)</f>
        <v>1</v>
      </c>
      <c r="F133" s="5">
        <f>VLOOKUP($C133,'Finished goods'!$A$5:$Q$27,4,FALSE)</f>
        <v>0.59</v>
      </c>
      <c r="G133" s="5">
        <f>VLOOKUP($C133,'Finished goods'!$A$5:$Q$27,5,FALSE)</f>
        <v>59</v>
      </c>
      <c r="H133" s="8">
        <f>VLOOKUP($C133,'Finished goods'!$A$5:$Q$27,6,FALSE)</f>
        <v>9.7984652999999995E-5</v>
      </c>
      <c r="I133" s="9">
        <f>VLOOKUP($C133,'Finished goods'!$A$5:$Q$27,7,FALSE)</f>
        <v>0.27217959166666666</v>
      </c>
      <c r="J133" s="9">
        <f>VLOOKUP($C133,'Finished goods'!$A$5:$Q$27,8,FALSE)</f>
        <v>0.2449616325</v>
      </c>
      <c r="R133" s="23">
        <v>12</v>
      </c>
      <c r="S133" s="6">
        <f t="shared" si="63"/>
        <v>708</v>
      </c>
      <c r="T133" s="6">
        <f t="shared" si="64"/>
        <v>3.2661550999999998</v>
      </c>
      <c r="U133" s="4">
        <f t="shared" si="65"/>
        <v>2.9395395899999999</v>
      </c>
      <c r="V133" s="16">
        <f>+S133*$M$3/'COST DATA'!$D$26</f>
        <v>5.9911797728161593</v>
      </c>
      <c r="W133" s="16">
        <f t="shared" si="67"/>
        <v>1.995653427651E-2</v>
      </c>
      <c r="X133" s="27">
        <f t="shared" si="68"/>
        <v>111.51000000000002</v>
      </c>
      <c r="Y133" s="4">
        <f t="shared" si="69"/>
        <v>41.687258687258691</v>
      </c>
      <c r="Z133" s="4">
        <f>+(S133/$S$3)*('Finished goods'!$Q$3*$S$1)</f>
        <v>1.8802096585428572</v>
      </c>
      <c r="AA133" s="4">
        <f>+'Finished goods'!$O$3*'Project Orto'!T133</f>
        <v>0.37861692152790888</v>
      </c>
      <c r="AB133" s="4"/>
      <c r="AC133" s="7">
        <f t="shared" si="70"/>
        <v>161.46722157442215</v>
      </c>
    </row>
    <row r="134" spans="1:29" x14ac:dyDescent="0.3">
      <c r="A134" s="244"/>
      <c r="B134" s="21" t="s">
        <v>123</v>
      </c>
      <c r="C134" s="4" t="str">
        <f t="shared" si="66"/>
        <v>Bicchiere colonna twist alto</v>
      </c>
      <c r="D134" s="5">
        <f>VLOOKUP($C134,'Finished goods'!$A$5:$Q$27,2,FALSE)</f>
        <v>1</v>
      </c>
      <c r="E134" s="5">
        <f>VLOOKUP($C134,'Finished goods'!$A$5:$Q$27,3,FALSE)</f>
        <v>1</v>
      </c>
      <c r="F134" s="5">
        <f>VLOOKUP($C134,'Finished goods'!$A$5:$Q$27,4,FALSE)</f>
        <v>0.57999999999999996</v>
      </c>
      <c r="G134" s="5">
        <f>VLOOKUP($C134,'Finished goods'!$A$5:$Q$27,5,FALSE)</f>
        <v>58</v>
      </c>
      <c r="H134" s="8">
        <f>VLOOKUP($C134,'Finished goods'!$A$5:$Q$27,6,FALSE)</f>
        <v>9.4065272999999995E-5</v>
      </c>
      <c r="I134" s="9">
        <f>VLOOKUP($C134,'Finished goods'!$A$5:$Q$27,7,FALSE)</f>
        <v>0.26129242499999999</v>
      </c>
      <c r="J134" s="9">
        <f>VLOOKUP($C134,'Finished goods'!$A$5:$Q$27,8,FALSE)</f>
        <v>0.23516318249999998</v>
      </c>
      <c r="R134" s="23">
        <v>12</v>
      </c>
      <c r="S134" s="6">
        <f t="shared" si="63"/>
        <v>696</v>
      </c>
      <c r="T134" s="6">
        <f t="shared" si="64"/>
        <v>3.1355091000000002</v>
      </c>
      <c r="U134" s="4">
        <f t="shared" si="65"/>
        <v>2.8219581899999997</v>
      </c>
      <c r="V134" s="16">
        <f>+S134*$M$3/'COST DATA'!$D$26</f>
        <v>5.8896343529379198</v>
      </c>
      <c r="W134" s="16">
        <f t="shared" si="67"/>
        <v>1.9158274151909998E-2</v>
      </c>
      <c r="X134" s="27">
        <f t="shared" si="68"/>
        <v>109.62000000000002</v>
      </c>
      <c r="Y134" s="4">
        <f t="shared" si="69"/>
        <v>40.980694980694977</v>
      </c>
      <c r="Z134" s="4">
        <f>+(S134/$S$3)*('Finished goods'!$Q$3*$S$1)</f>
        <v>1.8483416982285714</v>
      </c>
      <c r="AA134" s="4">
        <f>+'Finished goods'!$O$3*'Project Orto'!T134</f>
        <v>0.36347226831473628</v>
      </c>
      <c r="AB134" s="4"/>
      <c r="AC134" s="7">
        <f t="shared" si="70"/>
        <v>158.72130157432812</v>
      </c>
    </row>
    <row r="137" spans="1:29" ht="18" x14ac:dyDescent="0.35">
      <c r="D137" s="237" t="s">
        <v>40</v>
      </c>
      <c r="E137" s="237"/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4" t="s">
        <v>32</v>
      </c>
      <c r="S137" s="47">
        <f>+S139/60/7</f>
        <v>10.357142857142858</v>
      </c>
      <c r="T137" t="s">
        <v>83</v>
      </c>
    </row>
    <row r="138" spans="1:29" x14ac:dyDescent="0.3">
      <c r="D138" s="236" t="s">
        <v>33</v>
      </c>
      <c r="E138" s="236"/>
      <c r="F138" s="236"/>
      <c r="G138" s="236"/>
      <c r="H138" s="236"/>
      <c r="I138" s="236"/>
      <c r="J138" s="236"/>
      <c r="M138" s="236" t="s">
        <v>36</v>
      </c>
      <c r="N138" s="236"/>
      <c r="O138" s="236"/>
      <c r="P138" s="236"/>
      <c r="Q138" s="236"/>
      <c r="V138" s="241" t="s">
        <v>41</v>
      </c>
      <c r="W138" s="241"/>
      <c r="X138" s="241"/>
      <c r="Y138" s="241"/>
      <c r="Z138" s="241"/>
      <c r="AA138" s="241"/>
      <c r="AB138" s="241"/>
      <c r="AC138" s="241"/>
    </row>
    <row r="139" spans="1:29" ht="18" x14ac:dyDescent="0.35">
      <c r="F139" s="225" t="s">
        <v>44</v>
      </c>
      <c r="G139" s="225"/>
      <c r="I139" s="20">
        <f>SUBTOTAL(9,I141:I151)</f>
        <v>6.7672086749999991</v>
      </c>
      <c r="J139" s="20">
        <f>SUBTOTAL(9,J141:J151)</f>
        <v>6.0904878074999997</v>
      </c>
      <c r="K139" s="1">
        <f>+'Finished goods'!$I$3</f>
        <v>2500</v>
      </c>
      <c r="L139" s="1">
        <f>+'Finished goods'!$J$3</f>
        <v>0.9</v>
      </c>
      <c r="M139" s="15">
        <f>+'Finished goods'!$K$3</f>
        <v>0.50772709939119998</v>
      </c>
      <c r="N139" s="15">
        <f>+'Finished goods'!$L$3</f>
        <v>6.7889999999999999E-3</v>
      </c>
      <c r="O139" s="13">
        <f>+'Finished goods'!$M$3</f>
        <v>0.15750000000000003</v>
      </c>
      <c r="P139" s="46">
        <f>+'Finished goods'!$N$3</f>
        <v>5.8880308880308881E-2</v>
      </c>
      <c r="Q139" s="1"/>
      <c r="S139" s="17">
        <f t="shared" ref="S139:AC139" si="71">SUBTOTAL(9,S141:S151)</f>
        <v>4350</v>
      </c>
      <c r="T139" s="17">
        <f t="shared" si="71"/>
        <v>33.717334016666669</v>
      </c>
      <c r="U139" s="17">
        <f t="shared" si="71"/>
        <v>30.345600615000002</v>
      </c>
      <c r="V139" s="18">
        <f t="shared" si="71"/>
        <v>36.810214705862002</v>
      </c>
      <c r="W139" s="18">
        <f t="shared" si="71"/>
        <v>0.20601628257523499</v>
      </c>
      <c r="X139" s="18">
        <f t="shared" si="71"/>
        <v>685.125</v>
      </c>
      <c r="Y139" s="18">
        <f t="shared" si="71"/>
        <v>256.12934362934362</v>
      </c>
      <c r="Z139" s="18">
        <f t="shared" si="71"/>
        <v>11.552135613928572</v>
      </c>
      <c r="AA139" s="18">
        <f t="shared" si="71"/>
        <v>3.9085569474390782</v>
      </c>
      <c r="AB139" s="18">
        <f t="shared" si="71"/>
        <v>0</v>
      </c>
      <c r="AC139" s="19">
        <f t="shared" si="71"/>
        <v>993.73126717914852</v>
      </c>
    </row>
    <row r="140" spans="1:29" x14ac:dyDescent="0.3">
      <c r="A140" s="1" t="s">
        <v>145</v>
      </c>
      <c r="B140" s="1" t="s">
        <v>30</v>
      </c>
      <c r="C140" s="1" t="s">
        <v>0</v>
      </c>
      <c r="D140" s="1" t="s">
        <v>4</v>
      </c>
      <c r="E140" s="1" t="s">
        <v>5</v>
      </c>
      <c r="F140" s="1" t="s">
        <v>45</v>
      </c>
      <c r="G140" s="1" t="s">
        <v>57</v>
      </c>
      <c r="H140" s="1" t="s">
        <v>6</v>
      </c>
      <c r="I140" s="1" t="s">
        <v>2</v>
      </c>
      <c r="J140" s="1" t="s">
        <v>7</v>
      </c>
      <c r="K140" s="1" t="s">
        <v>31</v>
      </c>
      <c r="L140" s="1" t="s">
        <v>8</v>
      </c>
      <c r="M140" s="1" t="s">
        <v>34</v>
      </c>
      <c r="N140" s="1" t="s">
        <v>35</v>
      </c>
      <c r="O140" s="1" t="s">
        <v>37</v>
      </c>
      <c r="P140" s="1" t="s">
        <v>79</v>
      </c>
      <c r="Q140" s="1" t="s">
        <v>38</v>
      </c>
      <c r="R140" s="1" t="s">
        <v>39</v>
      </c>
      <c r="S140" s="2" t="s">
        <v>43</v>
      </c>
      <c r="T140" s="2" t="s">
        <v>2</v>
      </c>
      <c r="U140" s="2" t="s">
        <v>7</v>
      </c>
      <c r="V140" s="2">
        <f>+'Finished goods'!K140</f>
        <v>0</v>
      </c>
      <c r="W140" s="2">
        <f>+'Finished goods'!L140</f>
        <v>0</v>
      </c>
      <c r="X140" s="2">
        <f>+'Finished goods'!M140</f>
        <v>0</v>
      </c>
      <c r="Y140" s="2">
        <f>+'Finished goods'!N140</f>
        <v>0</v>
      </c>
      <c r="Z140" s="2">
        <f>+'Finished goods'!Q140</f>
        <v>0</v>
      </c>
      <c r="AA140" s="3" t="s">
        <v>111</v>
      </c>
      <c r="AB140" s="3" t="s">
        <v>115</v>
      </c>
      <c r="AC140" s="3" t="s">
        <v>42</v>
      </c>
    </row>
    <row r="141" spans="1:29" ht="14.4" customHeight="1" x14ac:dyDescent="0.3">
      <c r="A141" s="242" t="s">
        <v>419</v>
      </c>
      <c r="B141" s="21" t="s">
        <v>123</v>
      </c>
      <c r="C141" s="4" t="str">
        <f>+C5</f>
        <v>Bicchiere curve dritto</v>
      </c>
      <c r="D141" s="5">
        <f>VLOOKUP($C141,'Finished goods'!$A$5:$Q$27,2,FALSE)</f>
        <v>2</v>
      </c>
      <c r="E141" s="5">
        <f>VLOOKUP($C141,'Finished goods'!$A$5:$Q$27,3,FALSE)</f>
        <v>2</v>
      </c>
      <c r="F141" s="5">
        <f>VLOOKUP($C141,'Finished goods'!$A$5:$Q$27,4,FALSE)</f>
        <v>0.26</v>
      </c>
      <c r="G141" s="5">
        <f>VLOOKUP($C141,'Finished goods'!$A$5:$Q$27,5,FALSE)</f>
        <v>26</v>
      </c>
      <c r="H141" s="8">
        <f>VLOOKUP($C141,'Finished goods'!$A$5:$Q$27,6,FALSE)</f>
        <v>1.6928511099999999E-4</v>
      </c>
      <c r="I141" s="9">
        <f>VLOOKUP($C141,'Finished goods'!$A$5:$Q$27,7,FALSE)</f>
        <v>0.47023641944444439</v>
      </c>
      <c r="J141" s="9">
        <f>VLOOKUP($C141,'Finished goods'!$A$5:$Q$27,8,FALSE)</f>
        <v>0.42321277749999997</v>
      </c>
      <c r="R141" s="23">
        <v>12</v>
      </c>
      <c r="S141" s="6">
        <f t="shared" ref="S141:S151" si="72">+G141*$R141</f>
        <v>312</v>
      </c>
      <c r="T141" s="6">
        <f t="shared" ref="T141:T151" si="73">+I141*$R141</f>
        <v>5.6428370333333326</v>
      </c>
      <c r="U141" s="4">
        <f t="shared" ref="U141:U151" si="74">+J141*$R141</f>
        <v>5.0785533300000001</v>
      </c>
      <c r="V141" s="16">
        <f>+S141*$M$3/'COST DATA'!$D$26</f>
        <v>2.6401809168342401</v>
      </c>
      <c r="W141" s="16">
        <f>+U141*$N$3</f>
        <v>3.4478298557370002E-2</v>
      </c>
      <c r="X141" s="27">
        <f>+S141*$O$3</f>
        <v>49.140000000000008</v>
      </c>
      <c r="Y141" s="4">
        <f>+S141*$P$3</f>
        <v>18.37065637065637</v>
      </c>
      <c r="Z141" s="4">
        <f>+(S141/$S$3)*('Finished goods'!$Q$3*$S$1)</f>
        <v>0.82856696817142861</v>
      </c>
      <c r="AA141" s="4">
        <f>+'Finished goods'!$O$3*'Project Orto'!T141</f>
        <v>0.65412496370559525</v>
      </c>
      <c r="AB141" s="4"/>
      <c r="AC141" s="7">
        <f>+V141+W141+X141+Y141+Z141+AA141+AB141</f>
        <v>71.668007517925005</v>
      </c>
    </row>
    <row r="142" spans="1:29" x14ac:dyDescent="0.3">
      <c r="A142" s="243"/>
      <c r="B142" s="21" t="s">
        <v>123</v>
      </c>
      <c r="C142" s="4" t="str">
        <f t="shared" ref="C142:C151" si="75">+C6</f>
        <v>Bicchiere curve twist</v>
      </c>
      <c r="D142" s="5">
        <f>VLOOKUP($C142,'Finished goods'!$A$5:$Q$27,2,FALSE)</f>
        <v>2</v>
      </c>
      <c r="E142" s="5">
        <f>VLOOKUP($C142,'Finished goods'!$A$5:$Q$27,3,FALSE)</f>
        <v>2</v>
      </c>
      <c r="F142" s="5">
        <f>VLOOKUP($C142,'Finished goods'!$A$5:$Q$27,4,FALSE)</f>
        <v>0.25</v>
      </c>
      <c r="G142" s="5">
        <f>VLOOKUP($C142,'Finished goods'!$A$5:$Q$27,5,FALSE)</f>
        <v>25</v>
      </c>
      <c r="H142" s="8">
        <f>VLOOKUP($C142,'Finished goods'!$A$5:$Q$27,6,FALSE)</f>
        <v>1.69285896E-4</v>
      </c>
      <c r="I142" s="9">
        <f>VLOOKUP($C142,'Finished goods'!$A$5:$Q$27,7,FALSE)</f>
        <v>0.47023859999999995</v>
      </c>
      <c r="J142" s="9">
        <f>VLOOKUP($C142,'Finished goods'!$A$5:$Q$27,8,FALSE)</f>
        <v>0.42321473999999998</v>
      </c>
      <c r="R142" s="23">
        <v>12</v>
      </c>
      <c r="S142" s="6">
        <f t="shared" si="72"/>
        <v>300</v>
      </c>
      <c r="T142" s="6">
        <f t="shared" si="73"/>
        <v>5.642863199999999</v>
      </c>
      <c r="U142" s="4">
        <f t="shared" si="74"/>
        <v>5.07857688</v>
      </c>
      <c r="V142" s="16">
        <f>+S142*$M$3/'COST DATA'!$D$26</f>
        <v>2.5386354969559997</v>
      </c>
      <c r="W142" s="16">
        <f t="shared" ref="W142:W151" si="76">+U142*$N$3</f>
        <v>3.4478458438320002E-2</v>
      </c>
      <c r="X142" s="27">
        <f t="shared" ref="X142:X151" si="77">+S142*$O$3</f>
        <v>47.250000000000007</v>
      </c>
      <c r="Y142" s="4">
        <f t="shared" ref="Y142:Y151" si="78">+S142*$P$3</f>
        <v>17.664092664092664</v>
      </c>
      <c r="Z142" s="4">
        <f>+(S142/$S$3)*('Finished goods'!$Q$3*$S$1)</f>
        <v>0.79669900785714287</v>
      </c>
      <c r="AA142" s="4">
        <f>+'Finished goods'!$O$3*'Project Orto'!T142</f>
        <v>0.65412799697942225</v>
      </c>
      <c r="AB142" s="4"/>
      <c r="AC142" s="7">
        <f t="shared" ref="AC142:AC151" si="79">+V142+W142+X142+Y142+Z142+AA142+AB142</f>
        <v>68.938033624323552</v>
      </c>
    </row>
    <row r="143" spans="1:29" x14ac:dyDescent="0.3">
      <c r="A143" s="243"/>
      <c r="B143" s="21" t="s">
        <v>123</v>
      </c>
      <c r="C143" s="4" t="str">
        <f t="shared" si="75"/>
        <v>Caraffa curva</v>
      </c>
      <c r="D143" s="5">
        <f>VLOOKUP($C143,'Finished goods'!$A$5:$Q$27,2,FALSE)</f>
        <v>2</v>
      </c>
      <c r="E143" s="5">
        <f>VLOOKUP($C143,'Finished goods'!$A$5:$Q$27,3,FALSE)</f>
        <v>2</v>
      </c>
      <c r="F143" s="5">
        <f>VLOOKUP($C143,'Finished goods'!$A$5:$Q$27,4,FALSE)</f>
        <v>0.56999999999999995</v>
      </c>
      <c r="G143" s="5">
        <f>VLOOKUP($C143,'Finished goods'!$A$5:$Q$27,5,FALSE)</f>
        <v>57</v>
      </c>
      <c r="H143" s="8">
        <f>VLOOKUP($C143,'Finished goods'!$A$5:$Q$27,6,FALSE)</f>
        <v>3.69342133E-4</v>
      </c>
      <c r="I143" s="9">
        <f>VLOOKUP($C143,'Finished goods'!$A$5:$Q$27,7,FALSE)</f>
        <v>1.0259503694444445</v>
      </c>
      <c r="J143" s="9">
        <f>VLOOKUP($C143,'Finished goods'!$A$5:$Q$27,8,FALSE)</f>
        <v>0.92335533250000001</v>
      </c>
      <c r="R143" s="23">
        <v>2</v>
      </c>
      <c r="S143" s="6">
        <f t="shared" si="72"/>
        <v>114</v>
      </c>
      <c r="T143" s="6">
        <f t="shared" si="73"/>
        <v>2.051900738888889</v>
      </c>
      <c r="U143" s="4">
        <f t="shared" si="74"/>
        <v>1.846710665</v>
      </c>
      <c r="V143" s="16">
        <f>+S143*$M$3/'COST DATA'!$D$26</f>
        <v>0.96468148884327987</v>
      </c>
      <c r="W143" s="16">
        <f t="shared" si="76"/>
        <v>1.2537318704685E-2</v>
      </c>
      <c r="X143" s="27">
        <f t="shared" si="77"/>
        <v>17.955000000000002</v>
      </c>
      <c r="Y143" s="4">
        <f t="shared" si="78"/>
        <v>6.7123552123552122</v>
      </c>
      <c r="Z143" s="4">
        <f>+(S143/$S$3)*('Finished goods'!$Q$3*$S$1)</f>
        <v>0.30274562298571428</v>
      </c>
      <c r="AA143" s="4">
        <f>+'Finished goods'!$O$3*'Project Orto'!T143</f>
        <v>0.23785898625541477</v>
      </c>
      <c r="AB143" s="4"/>
      <c r="AC143" s="7">
        <f t="shared" si="79"/>
        <v>26.185178629144307</v>
      </c>
    </row>
    <row r="144" spans="1:29" x14ac:dyDescent="0.3">
      <c r="A144" s="243"/>
      <c r="B144" s="21" t="s">
        <v>123</v>
      </c>
      <c r="C144" s="4" t="str">
        <f t="shared" si="75"/>
        <v>Caraffa colonna dritta</v>
      </c>
      <c r="D144" s="5">
        <f>VLOOKUP($C144,'Finished goods'!$A$5:$Q$27,2,FALSE)</f>
        <v>2</v>
      </c>
      <c r="E144" s="5">
        <f>VLOOKUP($C144,'Finished goods'!$A$5:$Q$27,3,FALSE)</f>
        <v>1</v>
      </c>
      <c r="F144" s="5">
        <f>VLOOKUP($C144,'Finished goods'!$A$5:$Q$27,4,FALSE)</f>
        <v>1.4</v>
      </c>
      <c r="G144" s="5">
        <f>VLOOKUP($C144,'Finished goods'!$A$5:$Q$27,5,FALSE)</f>
        <v>100</v>
      </c>
      <c r="H144" s="8">
        <f>VLOOKUP($C144,'Finished goods'!$A$5:$Q$27,6,FALSE)</f>
        <v>3.2796365999999998E-4</v>
      </c>
      <c r="I144" s="9">
        <f>VLOOKUP($C144,'Finished goods'!$A$5:$Q$27,7,FALSE)</f>
        <v>0.91101016666666657</v>
      </c>
      <c r="J144" s="9">
        <f>VLOOKUP($C144,'Finished goods'!$A$5:$Q$27,8,FALSE)</f>
        <v>0.81990914999999998</v>
      </c>
      <c r="R144" s="23">
        <v>2</v>
      </c>
      <c r="S144" s="6">
        <f t="shared" si="72"/>
        <v>200</v>
      </c>
      <c r="T144" s="6">
        <f t="shared" si="73"/>
        <v>1.8220203333333331</v>
      </c>
      <c r="U144" s="4">
        <f t="shared" si="74"/>
        <v>1.6398183</v>
      </c>
      <c r="V144" s="16">
        <f>+S144*$M$3/'COST DATA'!$D$26</f>
        <v>1.6924236646373332</v>
      </c>
      <c r="W144" s="16">
        <f t="shared" si="76"/>
        <v>1.1132726438699999E-2</v>
      </c>
      <c r="X144" s="27">
        <f t="shared" si="77"/>
        <v>31.500000000000007</v>
      </c>
      <c r="Y144" s="4">
        <f t="shared" si="78"/>
        <v>11.776061776061777</v>
      </c>
      <c r="Z144" s="4">
        <f>+(S144/$S$3)*('Finished goods'!$Q$3*$S$1)</f>
        <v>0.53113267190476188</v>
      </c>
      <c r="AA144" s="4">
        <f>+'Finished goods'!$O$3*'Project Orto'!T144</f>
        <v>0.21121095246454188</v>
      </c>
      <c r="AB144" s="4"/>
      <c r="AC144" s="7">
        <f t="shared" si="79"/>
        <v>45.72196179150712</v>
      </c>
    </row>
    <row r="145" spans="1:29" x14ac:dyDescent="0.3">
      <c r="A145" s="243"/>
      <c r="B145" s="21" t="s">
        <v>123</v>
      </c>
      <c r="C145" s="4" t="str">
        <f t="shared" si="75"/>
        <v>Caraffa colonna twist1</v>
      </c>
      <c r="D145" s="5">
        <f>VLOOKUP($C145,'Finished goods'!$A$5:$Q$27,2,FALSE)</f>
        <v>2</v>
      </c>
      <c r="E145" s="5">
        <f>VLOOKUP($C145,'Finished goods'!$A$5:$Q$27,3,FALSE)</f>
        <v>1</v>
      </c>
      <c r="F145" s="5">
        <f>VLOOKUP($C145,'Finished goods'!$A$5:$Q$27,4,FALSE)</f>
        <v>1.41</v>
      </c>
      <c r="G145" s="5">
        <f>VLOOKUP($C145,'Finished goods'!$A$5:$Q$27,5,FALSE)</f>
        <v>101</v>
      </c>
      <c r="H145" s="8">
        <f>VLOOKUP($C145,'Finished goods'!$A$5:$Q$27,6,FALSE)</f>
        <v>3.323221E-4</v>
      </c>
      <c r="I145" s="9">
        <f>VLOOKUP($C145,'Finished goods'!$A$5:$Q$27,7,FALSE)</f>
        <v>0.92311694444444448</v>
      </c>
      <c r="J145" s="9">
        <f>VLOOKUP($C145,'Finished goods'!$A$5:$Q$27,8,FALSE)</f>
        <v>0.83080525000000005</v>
      </c>
      <c r="R145" s="23">
        <v>2</v>
      </c>
      <c r="S145" s="6">
        <f t="shared" si="72"/>
        <v>202</v>
      </c>
      <c r="T145" s="6">
        <f t="shared" si="73"/>
        <v>1.846233888888889</v>
      </c>
      <c r="U145" s="4">
        <f t="shared" si="74"/>
        <v>1.6616105000000001</v>
      </c>
      <c r="V145" s="16">
        <f>+S145*$M$3/'COST DATA'!$D$26</f>
        <v>1.7093479012837065</v>
      </c>
      <c r="W145" s="16">
        <f t="shared" si="76"/>
        <v>1.12806736845E-2</v>
      </c>
      <c r="X145" s="27">
        <f t="shared" si="77"/>
        <v>31.815000000000005</v>
      </c>
      <c r="Y145" s="4">
        <f t="shared" si="78"/>
        <v>11.893822393822393</v>
      </c>
      <c r="Z145" s="4">
        <f>+(S145/$S$3)*('Finished goods'!$Q$3*$S$1)</f>
        <v>0.53644399862380954</v>
      </c>
      <c r="AA145" s="4">
        <f>+'Finished goods'!$O$3*'Project Orto'!T145</f>
        <v>0.21401781912671894</v>
      </c>
      <c r="AB145" s="4"/>
      <c r="AC145" s="7">
        <f t="shared" si="79"/>
        <v>46.179912786541131</v>
      </c>
    </row>
    <row r="146" spans="1:29" x14ac:dyDescent="0.3">
      <c r="A146" s="243"/>
      <c r="B146" s="21" t="s">
        <v>123</v>
      </c>
      <c r="C146" s="4" t="str">
        <f t="shared" si="75"/>
        <v>Caraffa colonna twist2</v>
      </c>
      <c r="D146" s="5">
        <f>VLOOKUP($C146,'Finished goods'!$A$5:$Q$27,2,FALSE)</f>
        <v>2</v>
      </c>
      <c r="E146" s="5">
        <f>VLOOKUP($C146,'Finished goods'!$A$5:$Q$27,3,FALSE)</f>
        <v>1</v>
      </c>
      <c r="F146" s="5">
        <f>VLOOKUP($C146,'Finished goods'!$A$5:$Q$27,4,FALSE)</f>
        <v>1.45</v>
      </c>
      <c r="G146" s="5">
        <f>VLOOKUP($C146,'Finished goods'!$A$5:$Q$27,5,FALSE)</f>
        <v>105</v>
      </c>
      <c r="H146" s="8">
        <f>VLOOKUP($C146,'Finished goods'!$A$5:$Q$27,6,FALSE)</f>
        <v>3.4271101000000001E-4</v>
      </c>
      <c r="I146" s="9">
        <f>VLOOKUP($C146,'Finished goods'!$A$5:$Q$27,7,FALSE)</f>
        <v>0.95197502777777776</v>
      </c>
      <c r="J146" s="9">
        <f>VLOOKUP($C146,'Finished goods'!$A$5:$Q$27,8,FALSE)</f>
        <v>0.85677752500000004</v>
      </c>
      <c r="R146" s="23">
        <v>2</v>
      </c>
      <c r="S146" s="6">
        <f t="shared" si="72"/>
        <v>210</v>
      </c>
      <c r="T146" s="6">
        <f t="shared" si="73"/>
        <v>1.9039500555555555</v>
      </c>
      <c r="U146" s="4">
        <f t="shared" si="74"/>
        <v>1.7135550500000001</v>
      </c>
      <c r="V146" s="16">
        <f>+S146*$M$3/'COST DATA'!$D$26</f>
        <v>1.7770448478691998</v>
      </c>
      <c r="W146" s="16">
        <f t="shared" si="76"/>
        <v>1.1633325234450001E-2</v>
      </c>
      <c r="X146" s="27">
        <f t="shared" si="77"/>
        <v>33.075000000000003</v>
      </c>
      <c r="Y146" s="4">
        <f t="shared" si="78"/>
        <v>12.364864864864865</v>
      </c>
      <c r="Z146" s="4">
        <f>+(S146/$S$3)*('Finished goods'!$Q$3*$S$1)</f>
        <v>0.55768930550000007</v>
      </c>
      <c r="AA146" s="4">
        <f>+'Finished goods'!$O$3*'Project Orto'!T146</f>
        <v>0.22070835177953907</v>
      </c>
      <c r="AB146" s="4"/>
      <c r="AC146" s="7">
        <f t="shared" si="79"/>
        <v>48.006940695248055</v>
      </c>
    </row>
    <row r="147" spans="1:29" x14ac:dyDescent="0.3">
      <c r="A147" s="243"/>
      <c r="B147" s="21" t="s">
        <v>123</v>
      </c>
      <c r="C147" s="4" t="str">
        <f t="shared" si="75"/>
        <v>Caraffa colonna twist3</v>
      </c>
      <c r="D147" s="5">
        <f>VLOOKUP($C147,'Finished goods'!$A$5:$Q$27,2,FALSE)</f>
        <v>2</v>
      </c>
      <c r="E147" s="5">
        <f>VLOOKUP($C147,'Finished goods'!$A$5:$Q$27,3,FALSE)</f>
        <v>1</v>
      </c>
      <c r="F147" s="5">
        <f>VLOOKUP($C147,'Finished goods'!$A$5:$Q$27,4,FALSE)</f>
        <v>1.42</v>
      </c>
      <c r="G147" s="5">
        <f>VLOOKUP($C147,'Finished goods'!$A$5:$Q$27,5,FALSE)</f>
        <v>102</v>
      </c>
      <c r="H147" s="8">
        <f>VLOOKUP($C147,'Finished goods'!$A$5:$Q$27,6,FALSE)</f>
        <v>3.3727121999999998E-4</v>
      </c>
      <c r="I147" s="9">
        <f>VLOOKUP($C147,'Finished goods'!$A$5:$Q$27,7,FALSE)</f>
        <v>0.93686449999999988</v>
      </c>
      <c r="J147" s="9">
        <f>VLOOKUP($C147,'Finished goods'!$A$5:$Q$27,8,FALSE)</f>
        <v>0.8431780499999999</v>
      </c>
      <c r="R147" s="23">
        <v>2</v>
      </c>
      <c r="S147" s="6">
        <f t="shared" si="72"/>
        <v>204</v>
      </c>
      <c r="T147" s="6">
        <f t="shared" si="73"/>
        <v>1.8737289999999998</v>
      </c>
      <c r="U147" s="4">
        <f t="shared" si="74"/>
        <v>1.6863560999999998</v>
      </c>
      <c r="V147" s="16">
        <f>+S147*$M$3/'COST DATA'!$D$26</f>
        <v>1.7262721379300801</v>
      </c>
      <c r="W147" s="16">
        <f t="shared" si="76"/>
        <v>1.1448671562899998E-2</v>
      </c>
      <c r="X147" s="27">
        <f t="shared" si="77"/>
        <v>32.130000000000003</v>
      </c>
      <c r="Y147" s="4">
        <f t="shared" si="78"/>
        <v>12.011583011583012</v>
      </c>
      <c r="Z147" s="4">
        <f>+(S147/$S$3)*('Finished goods'!$Q$3*$S$1)</f>
        <v>0.5417553253428572</v>
      </c>
      <c r="AA147" s="4">
        <f>+'Finished goods'!$O$3*'Project Orto'!T147</f>
        <v>0.21720508795114082</v>
      </c>
      <c r="AB147" s="4"/>
      <c r="AC147" s="7">
        <f t="shared" si="79"/>
        <v>46.638264234369991</v>
      </c>
    </row>
    <row r="148" spans="1:29" x14ac:dyDescent="0.3">
      <c r="A148" s="243"/>
      <c r="B148" s="21" t="s">
        <v>123</v>
      </c>
      <c r="C148" s="4" t="str">
        <f t="shared" si="75"/>
        <v>Bicchiere colonna twist1</v>
      </c>
      <c r="D148" s="5">
        <f>VLOOKUP($C148,'Finished goods'!$A$5:$Q$27,2,FALSE)</f>
        <v>1</v>
      </c>
      <c r="E148" s="5">
        <f>VLOOKUP($C148,'Finished goods'!$A$5:$Q$27,3,FALSE)</f>
        <v>1</v>
      </c>
      <c r="F148" s="5">
        <f>VLOOKUP($C148,'Finished goods'!$A$5:$Q$27,4,FALSE)</f>
        <v>0.57999999999999996</v>
      </c>
      <c r="G148" s="5">
        <f>VLOOKUP($C148,'Finished goods'!$A$5:$Q$27,5,FALSE)</f>
        <v>58</v>
      </c>
      <c r="H148" s="8">
        <f>VLOOKUP($C148,'Finished goods'!$A$5:$Q$27,6,FALSE)</f>
        <v>9.7981700000000004E-5</v>
      </c>
      <c r="I148" s="9">
        <f>VLOOKUP($C148,'Finished goods'!$A$5:$Q$27,7,FALSE)</f>
        <v>0.27217138888888892</v>
      </c>
      <c r="J148" s="9">
        <f>VLOOKUP($C148,'Finished goods'!$A$5:$Q$27,8,FALSE)</f>
        <v>0.24495425000000001</v>
      </c>
      <c r="R148" s="23">
        <v>12</v>
      </c>
      <c r="S148" s="6">
        <f t="shared" si="72"/>
        <v>696</v>
      </c>
      <c r="T148" s="6">
        <f t="shared" si="73"/>
        <v>3.2660566666666671</v>
      </c>
      <c r="U148" s="4">
        <f t="shared" si="74"/>
        <v>2.939451</v>
      </c>
      <c r="V148" s="16">
        <f>+S148*$M$3/'COST DATA'!$D$26</f>
        <v>5.8896343529379198</v>
      </c>
      <c r="W148" s="16">
        <f t="shared" si="76"/>
        <v>1.9955932839000001E-2</v>
      </c>
      <c r="X148" s="27">
        <f t="shared" si="77"/>
        <v>109.62000000000002</v>
      </c>
      <c r="Y148" s="4">
        <f t="shared" si="78"/>
        <v>40.980694980694977</v>
      </c>
      <c r="Z148" s="4">
        <f>+(S148/$S$3)*('Finished goods'!$Q$3*$S$1)</f>
        <v>1.8483416982285714</v>
      </c>
      <c r="AA148" s="4">
        <f>+'Finished goods'!$O$3*'Project Orto'!T148</f>
        <v>0.37860551100865886</v>
      </c>
      <c r="AB148" s="4"/>
      <c r="AC148" s="7">
        <f t="shared" si="79"/>
        <v>158.73723247570913</v>
      </c>
    </row>
    <row r="149" spans="1:29" x14ac:dyDescent="0.3">
      <c r="A149" s="243"/>
      <c r="B149" s="21" t="s">
        <v>123</v>
      </c>
      <c r="C149" s="4" t="str">
        <f t="shared" si="75"/>
        <v>Bicchiere colonna twist2</v>
      </c>
      <c r="D149" s="5">
        <f>VLOOKUP($C149,'Finished goods'!$A$5:$Q$27,2,FALSE)</f>
        <v>1</v>
      </c>
      <c r="E149" s="5">
        <f>VLOOKUP($C149,'Finished goods'!$A$5:$Q$27,3,FALSE)</f>
        <v>1</v>
      </c>
      <c r="F149" s="5">
        <f>VLOOKUP($C149,'Finished goods'!$A$5:$Q$27,4,FALSE)</f>
        <v>0.59</v>
      </c>
      <c r="G149" s="5">
        <f>VLOOKUP($C149,'Finished goods'!$A$5:$Q$27,5,FALSE)</f>
        <v>59</v>
      </c>
      <c r="H149" s="8">
        <f>VLOOKUP($C149,'Finished goods'!$A$5:$Q$27,6,FALSE)</f>
        <v>9.7982366999999995E-5</v>
      </c>
      <c r="I149" s="9">
        <f>VLOOKUP($C149,'Finished goods'!$A$5:$Q$27,7,FALSE)</f>
        <v>0.27217324166666662</v>
      </c>
      <c r="J149" s="9">
        <f>VLOOKUP($C149,'Finished goods'!$A$5:$Q$27,8,FALSE)</f>
        <v>0.24495591749999998</v>
      </c>
      <c r="R149" s="23">
        <v>12</v>
      </c>
      <c r="S149" s="6">
        <f t="shared" si="72"/>
        <v>708</v>
      </c>
      <c r="T149" s="6">
        <f t="shared" si="73"/>
        <v>3.2660788999999992</v>
      </c>
      <c r="U149" s="4">
        <f t="shared" si="74"/>
        <v>2.9394710099999997</v>
      </c>
      <c r="V149" s="16">
        <f>+S149*$M$3/'COST DATA'!$D$26</f>
        <v>5.9911797728161593</v>
      </c>
      <c r="W149" s="16">
        <f t="shared" si="76"/>
        <v>1.9956068686889997E-2</v>
      </c>
      <c r="X149" s="27">
        <f t="shared" si="77"/>
        <v>111.51000000000002</v>
      </c>
      <c r="Y149" s="4">
        <f t="shared" si="78"/>
        <v>41.687258687258691</v>
      </c>
      <c r="Z149" s="4">
        <f>+(S149/$S$3)*('Finished goods'!$Q$3*$S$1)</f>
        <v>1.8802096585428572</v>
      </c>
      <c r="AA149" s="4">
        <f>+'Finished goods'!$O$3*'Project Orto'!T149</f>
        <v>0.37860808832540094</v>
      </c>
      <c r="AB149" s="4"/>
      <c r="AC149" s="7">
        <f t="shared" si="79"/>
        <v>161.46721227563</v>
      </c>
    </row>
    <row r="150" spans="1:29" x14ac:dyDescent="0.3">
      <c r="A150" s="243"/>
      <c r="B150" s="21" t="s">
        <v>123</v>
      </c>
      <c r="C150" s="4" t="str">
        <f t="shared" si="75"/>
        <v>Bicchiere colonna twist3</v>
      </c>
      <c r="D150" s="5">
        <f>VLOOKUP($C150,'Finished goods'!$A$5:$Q$27,2,FALSE)</f>
        <v>1</v>
      </c>
      <c r="E150" s="5">
        <f>VLOOKUP($C150,'Finished goods'!$A$5:$Q$27,3,FALSE)</f>
        <v>1</v>
      </c>
      <c r="F150" s="5">
        <f>VLOOKUP($C150,'Finished goods'!$A$5:$Q$27,4,FALSE)</f>
        <v>0.59</v>
      </c>
      <c r="G150" s="5">
        <f>VLOOKUP($C150,'Finished goods'!$A$5:$Q$27,5,FALSE)</f>
        <v>59</v>
      </c>
      <c r="H150" s="8">
        <f>VLOOKUP($C150,'Finished goods'!$A$5:$Q$27,6,FALSE)</f>
        <v>9.7984652999999995E-5</v>
      </c>
      <c r="I150" s="9">
        <f>VLOOKUP($C150,'Finished goods'!$A$5:$Q$27,7,FALSE)</f>
        <v>0.27217959166666666</v>
      </c>
      <c r="J150" s="9">
        <f>VLOOKUP($C150,'Finished goods'!$A$5:$Q$27,8,FALSE)</f>
        <v>0.2449616325</v>
      </c>
      <c r="R150" s="23">
        <v>12</v>
      </c>
      <c r="S150" s="6">
        <f t="shared" si="72"/>
        <v>708</v>
      </c>
      <c r="T150" s="6">
        <f t="shared" si="73"/>
        <v>3.2661550999999998</v>
      </c>
      <c r="U150" s="4">
        <f t="shared" si="74"/>
        <v>2.9395395899999999</v>
      </c>
      <c r="V150" s="16">
        <f>+S150*$M$3/'COST DATA'!$D$26</f>
        <v>5.9911797728161593</v>
      </c>
      <c r="W150" s="16">
        <f t="shared" si="76"/>
        <v>1.995653427651E-2</v>
      </c>
      <c r="X150" s="27">
        <f t="shared" si="77"/>
        <v>111.51000000000002</v>
      </c>
      <c r="Y150" s="4">
        <f t="shared" si="78"/>
        <v>41.687258687258691</v>
      </c>
      <c r="Z150" s="4">
        <f>+(S150/$S$3)*('Finished goods'!$Q$3*$S$1)</f>
        <v>1.8802096585428572</v>
      </c>
      <c r="AA150" s="4">
        <f>+'Finished goods'!$O$3*'Project Orto'!T150</f>
        <v>0.37861692152790888</v>
      </c>
      <c r="AB150" s="4"/>
      <c r="AC150" s="7">
        <f t="shared" si="79"/>
        <v>161.46722157442215</v>
      </c>
    </row>
    <row r="151" spans="1:29" x14ac:dyDescent="0.3">
      <c r="A151" s="244"/>
      <c r="B151" s="21" t="s">
        <v>123</v>
      </c>
      <c r="C151" s="4" t="str">
        <f t="shared" si="75"/>
        <v>Bicchiere colonna twist alto</v>
      </c>
      <c r="D151" s="5">
        <f>VLOOKUP($C151,'Finished goods'!$A$5:$Q$27,2,FALSE)</f>
        <v>1</v>
      </c>
      <c r="E151" s="5">
        <f>VLOOKUP($C151,'Finished goods'!$A$5:$Q$27,3,FALSE)</f>
        <v>1</v>
      </c>
      <c r="F151" s="5">
        <f>VLOOKUP($C151,'Finished goods'!$A$5:$Q$27,4,FALSE)</f>
        <v>0.57999999999999996</v>
      </c>
      <c r="G151" s="5">
        <f>VLOOKUP($C151,'Finished goods'!$A$5:$Q$27,5,FALSE)</f>
        <v>58</v>
      </c>
      <c r="H151" s="8">
        <f>VLOOKUP($C151,'Finished goods'!$A$5:$Q$27,6,FALSE)</f>
        <v>9.4065272999999995E-5</v>
      </c>
      <c r="I151" s="9">
        <f>VLOOKUP($C151,'Finished goods'!$A$5:$Q$27,7,FALSE)</f>
        <v>0.26129242499999999</v>
      </c>
      <c r="J151" s="9">
        <f>VLOOKUP($C151,'Finished goods'!$A$5:$Q$27,8,FALSE)</f>
        <v>0.23516318249999998</v>
      </c>
      <c r="R151" s="23">
        <v>12</v>
      </c>
      <c r="S151" s="6">
        <f t="shared" si="72"/>
        <v>696</v>
      </c>
      <c r="T151" s="6">
        <f t="shared" si="73"/>
        <v>3.1355091000000002</v>
      </c>
      <c r="U151" s="4">
        <f t="shared" si="74"/>
        <v>2.8219581899999997</v>
      </c>
      <c r="V151" s="16">
        <f>+S151*$M$3/'COST DATA'!$D$26</f>
        <v>5.8896343529379198</v>
      </c>
      <c r="W151" s="16">
        <f t="shared" si="76"/>
        <v>1.9158274151909998E-2</v>
      </c>
      <c r="X151" s="27">
        <f t="shared" si="77"/>
        <v>109.62000000000002</v>
      </c>
      <c r="Y151" s="4">
        <f t="shared" si="78"/>
        <v>40.980694980694977</v>
      </c>
      <c r="Z151" s="4">
        <f>+(S151/$S$3)*('Finished goods'!$Q$3*$S$1)</f>
        <v>1.8483416982285714</v>
      </c>
      <c r="AA151" s="4">
        <f>+'Finished goods'!$O$3*'Project Orto'!T151</f>
        <v>0.36347226831473628</v>
      </c>
      <c r="AB151" s="4"/>
      <c r="AC151" s="7">
        <f t="shared" si="79"/>
        <v>158.72130157432812</v>
      </c>
    </row>
    <row r="154" spans="1:29" ht="18" x14ac:dyDescent="0.35">
      <c r="D154" s="237" t="s">
        <v>40</v>
      </c>
      <c r="E154" s="237"/>
      <c r="F154" s="237"/>
      <c r="G154" s="237"/>
      <c r="H154" s="237"/>
      <c r="I154" s="237"/>
      <c r="J154" s="237"/>
      <c r="K154" s="237"/>
      <c r="L154" s="237"/>
      <c r="M154" s="237"/>
      <c r="N154" s="237"/>
      <c r="O154" s="237"/>
      <c r="P154" s="237"/>
      <c r="Q154" s="237"/>
      <c r="R154" s="24" t="s">
        <v>32</v>
      </c>
      <c r="S154" s="47">
        <f>+S156/60/7</f>
        <v>10.357142857142858</v>
      </c>
      <c r="T154" t="s">
        <v>83</v>
      </c>
    </row>
    <row r="155" spans="1:29" x14ac:dyDescent="0.3">
      <c r="D155" s="236" t="s">
        <v>33</v>
      </c>
      <c r="E155" s="236"/>
      <c r="F155" s="236"/>
      <c r="G155" s="236"/>
      <c r="H155" s="236"/>
      <c r="I155" s="236"/>
      <c r="J155" s="236"/>
      <c r="M155" s="236" t="s">
        <v>36</v>
      </c>
      <c r="N155" s="236"/>
      <c r="O155" s="236"/>
      <c r="P155" s="236"/>
      <c r="Q155" s="236"/>
      <c r="V155" s="241" t="s">
        <v>41</v>
      </c>
      <c r="W155" s="241"/>
      <c r="X155" s="241"/>
      <c r="Y155" s="241"/>
      <c r="Z155" s="241"/>
      <c r="AA155" s="241"/>
      <c r="AB155" s="241"/>
      <c r="AC155" s="241"/>
    </row>
    <row r="156" spans="1:29" ht="18" x14ac:dyDescent="0.35">
      <c r="F156" s="225" t="s">
        <v>44</v>
      </c>
      <c r="G156" s="225"/>
      <c r="I156" s="20">
        <f>SUBTOTAL(9,I158:I168)</f>
        <v>6.7672086749999991</v>
      </c>
      <c r="J156" s="20">
        <f>SUBTOTAL(9,J158:J168)</f>
        <v>6.0904878074999997</v>
      </c>
      <c r="K156" s="1">
        <f>+'Finished goods'!$I$3</f>
        <v>2500</v>
      </c>
      <c r="L156" s="1">
        <f>+'Finished goods'!$J$3</f>
        <v>0.9</v>
      </c>
      <c r="M156" s="15">
        <f>+'Finished goods'!$K$3</f>
        <v>0.50772709939119998</v>
      </c>
      <c r="N156" s="15">
        <f>+'Finished goods'!$L$3</f>
        <v>6.7889999999999999E-3</v>
      </c>
      <c r="O156" s="13">
        <f>+'Finished goods'!$M$3</f>
        <v>0.15750000000000003</v>
      </c>
      <c r="P156" s="46">
        <f>+'Finished goods'!$N$3</f>
        <v>5.8880308880308881E-2</v>
      </c>
      <c r="Q156" s="1"/>
      <c r="S156" s="17">
        <f t="shared" ref="S156:AC156" si="80">SUBTOTAL(9,S158:S168)</f>
        <v>4350</v>
      </c>
      <c r="T156" s="17">
        <f t="shared" si="80"/>
        <v>33.717334016666669</v>
      </c>
      <c r="U156" s="17">
        <f t="shared" si="80"/>
        <v>30.345600615000002</v>
      </c>
      <c r="V156" s="18">
        <f t="shared" si="80"/>
        <v>36.810214705862002</v>
      </c>
      <c r="W156" s="18">
        <f t="shared" si="80"/>
        <v>0.20601628257523499</v>
      </c>
      <c r="X156" s="18">
        <f t="shared" si="80"/>
        <v>685.125</v>
      </c>
      <c r="Y156" s="18">
        <f t="shared" si="80"/>
        <v>256.12934362934362</v>
      </c>
      <c r="Z156" s="18">
        <f t="shared" si="80"/>
        <v>11.552135613928572</v>
      </c>
      <c r="AA156" s="18">
        <f t="shared" si="80"/>
        <v>3.9085569474390782</v>
      </c>
      <c r="AB156" s="18">
        <f t="shared" si="80"/>
        <v>0</v>
      </c>
      <c r="AC156" s="19">
        <f t="shared" si="80"/>
        <v>993.73126717914852</v>
      </c>
    </row>
    <row r="157" spans="1:29" x14ac:dyDescent="0.3">
      <c r="A157" s="1" t="s">
        <v>145</v>
      </c>
      <c r="B157" s="1" t="s">
        <v>30</v>
      </c>
      <c r="C157" s="1" t="s">
        <v>0</v>
      </c>
      <c r="D157" s="1" t="s">
        <v>4</v>
      </c>
      <c r="E157" s="1" t="s">
        <v>5</v>
      </c>
      <c r="F157" s="1" t="s">
        <v>45</v>
      </c>
      <c r="G157" s="1" t="s">
        <v>57</v>
      </c>
      <c r="H157" s="1" t="s">
        <v>6</v>
      </c>
      <c r="I157" s="1" t="s">
        <v>2</v>
      </c>
      <c r="J157" s="1" t="s">
        <v>7</v>
      </c>
      <c r="K157" s="1" t="s">
        <v>31</v>
      </c>
      <c r="L157" s="1" t="s">
        <v>8</v>
      </c>
      <c r="M157" s="1" t="s">
        <v>34</v>
      </c>
      <c r="N157" s="1" t="s">
        <v>35</v>
      </c>
      <c r="O157" s="1" t="s">
        <v>37</v>
      </c>
      <c r="P157" s="1" t="s">
        <v>79</v>
      </c>
      <c r="Q157" s="1" t="s">
        <v>38</v>
      </c>
      <c r="R157" s="1" t="s">
        <v>39</v>
      </c>
      <c r="S157" s="2" t="s">
        <v>43</v>
      </c>
      <c r="T157" s="2" t="s">
        <v>2</v>
      </c>
      <c r="U157" s="2" t="s">
        <v>7</v>
      </c>
      <c r="V157" s="2">
        <f>+'Finished goods'!K157</f>
        <v>0</v>
      </c>
      <c r="W157" s="2">
        <f>+'Finished goods'!L157</f>
        <v>0</v>
      </c>
      <c r="X157" s="2">
        <f>+'Finished goods'!M157</f>
        <v>0</v>
      </c>
      <c r="Y157" s="2">
        <f>+'Finished goods'!N157</f>
        <v>0</v>
      </c>
      <c r="Z157" s="2">
        <f>+'Finished goods'!Q157</f>
        <v>0</v>
      </c>
      <c r="AA157" s="3" t="s">
        <v>111</v>
      </c>
      <c r="AB157" s="3" t="s">
        <v>115</v>
      </c>
      <c r="AC157" s="3" t="s">
        <v>42</v>
      </c>
    </row>
    <row r="158" spans="1:29" ht="14.4" customHeight="1" x14ac:dyDescent="0.3">
      <c r="A158" s="242" t="s">
        <v>420</v>
      </c>
      <c r="B158" s="21" t="s">
        <v>123</v>
      </c>
      <c r="C158" s="4" t="str">
        <f>+C141</f>
        <v>Bicchiere curve dritto</v>
      </c>
      <c r="D158" s="5">
        <f>VLOOKUP($C158,'Finished goods'!$A$5:$Q$27,2,FALSE)</f>
        <v>2</v>
      </c>
      <c r="E158" s="5">
        <f>VLOOKUP($C158,'Finished goods'!$A$5:$Q$27,3,FALSE)</f>
        <v>2</v>
      </c>
      <c r="F158" s="5">
        <f>VLOOKUP($C158,'Finished goods'!$A$5:$Q$27,4,FALSE)</f>
        <v>0.26</v>
      </c>
      <c r="G158" s="5">
        <f>VLOOKUP($C158,'Finished goods'!$A$5:$Q$27,5,FALSE)</f>
        <v>26</v>
      </c>
      <c r="H158" s="8">
        <f>VLOOKUP($C158,'Finished goods'!$A$5:$Q$27,6,FALSE)</f>
        <v>1.6928511099999999E-4</v>
      </c>
      <c r="I158" s="9">
        <f>VLOOKUP($C158,'Finished goods'!$A$5:$Q$27,7,FALSE)</f>
        <v>0.47023641944444439</v>
      </c>
      <c r="J158" s="9">
        <f>VLOOKUP($C158,'Finished goods'!$A$5:$Q$27,8,FALSE)</f>
        <v>0.42321277749999997</v>
      </c>
      <c r="R158" s="23">
        <v>12</v>
      </c>
      <c r="S158" s="6">
        <f t="shared" ref="S158:S168" si="81">+G158*$R158</f>
        <v>312</v>
      </c>
      <c r="T158" s="6">
        <f t="shared" ref="T158:T168" si="82">+I158*$R158</f>
        <v>5.6428370333333326</v>
      </c>
      <c r="U158" s="4">
        <f t="shared" ref="U158:U168" si="83">+J158*$R158</f>
        <v>5.0785533300000001</v>
      </c>
      <c r="V158" s="16">
        <f>+S158*$M$3/'COST DATA'!$D$26</f>
        <v>2.6401809168342401</v>
      </c>
      <c r="W158" s="16">
        <f>+U158*$N$3</f>
        <v>3.4478298557370002E-2</v>
      </c>
      <c r="X158" s="27">
        <f>+S158*$O$3</f>
        <v>49.140000000000008</v>
      </c>
      <c r="Y158" s="4">
        <f>+S158*$P$3</f>
        <v>18.37065637065637</v>
      </c>
      <c r="Z158" s="4">
        <f>+(S158/$S$3)*('Finished goods'!$Q$3*$S$1)</f>
        <v>0.82856696817142861</v>
      </c>
      <c r="AA158" s="4">
        <f>+'Finished goods'!$O$3*'Project Orto'!T158</f>
        <v>0.65412496370559525</v>
      </c>
      <c r="AB158" s="4"/>
      <c r="AC158" s="7">
        <f>+V158+W158+X158+Y158+Z158+AA158+AB158</f>
        <v>71.668007517925005</v>
      </c>
    </row>
    <row r="159" spans="1:29" x14ac:dyDescent="0.3">
      <c r="A159" s="243"/>
      <c r="B159" s="21" t="s">
        <v>123</v>
      </c>
      <c r="C159" s="4" t="str">
        <f t="shared" ref="C159:C168" si="84">+C142</f>
        <v>Bicchiere curve twist</v>
      </c>
      <c r="D159" s="5">
        <f>VLOOKUP($C159,'Finished goods'!$A$5:$Q$27,2,FALSE)</f>
        <v>2</v>
      </c>
      <c r="E159" s="5">
        <f>VLOOKUP($C159,'Finished goods'!$A$5:$Q$27,3,FALSE)</f>
        <v>2</v>
      </c>
      <c r="F159" s="5">
        <f>VLOOKUP($C159,'Finished goods'!$A$5:$Q$27,4,FALSE)</f>
        <v>0.25</v>
      </c>
      <c r="G159" s="5">
        <f>VLOOKUP($C159,'Finished goods'!$A$5:$Q$27,5,FALSE)</f>
        <v>25</v>
      </c>
      <c r="H159" s="8">
        <f>VLOOKUP($C159,'Finished goods'!$A$5:$Q$27,6,FALSE)</f>
        <v>1.69285896E-4</v>
      </c>
      <c r="I159" s="9">
        <f>VLOOKUP($C159,'Finished goods'!$A$5:$Q$27,7,FALSE)</f>
        <v>0.47023859999999995</v>
      </c>
      <c r="J159" s="9">
        <f>VLOOKUP($C159,'Finished goods'!$A$5:$Q$27,8,FALSE)</f>
        <v>0.42321473999999998</v>
      </c>
      <c r="R159" s="23">
        <v>12</v>
      </c>
      <c r="S159" s="6">
        <f t="shared" si="81"/>
        <v>300</v>
      </c>
      <c r="T159" s="6">
        <f t="shared" si="82"/>
        <v>5.642863199999999</v>
      </c>
      <c r="U159" s="4">
        <f t="shared" si="83"/>
        <v>5.07857688</v>
      </c>
      <c r="V159" s="16">
        <f>+S159*$M$3/'COST DATA'!$D$26</f>
        <v>2.5386354969559997</v>
      </c>
      <c r="W159" s="16">
        <f t="shared" ref="W159:W168" si="85">+U159*$N$3</f>
        <v>3.4478458438320002E-2</v>
      </c>
      <c r="X159" s="27">
        <f t="shared" ref="X159:X168" si="86">+S159*$O$3</f>
        <v>47.250000000000007</v>
      </c>
      <c r="Y159" s="4">
        <f t="shared" ref="Y159:Y168" si="87">+S159*$P$3</f>
        <v>17.664092664092664</v>
      </c>
      <c r="Z159" s="4">
        <f>+(S159/$S$3)*('Finished goods'!$Q$3*$S$1)</f>
        <v>0.79669900785714287</v>
      </c>
      <c r="AA159" s="4">
        <f>+'Finished goods'!$O$3*'Project Orto'!T159</f>
        <v>0.65412799697942225</v>
      </c>
      <c r="AB159" s="4"/>
      <c r="AC159" s="7">
        <f t="shared" ref="AC159:AC168" si="88">+V159+W159+X159+Y159+Z159+AA159+AB159</f>
        <v>68.938033624323552</v>
      </c>
    </row>
    <row r="160" spans="1:29" x14ac:dyDescent="0.3">
      <c r="A160" s="243"/>
      <c r="B160" s="21" t="s">
        <v>123</v>
      </c>
      <c r="C160" s="4" t="str">
        <f t="shared" si="84"/>
        <v>Caraffa curva</v>
      </c>
      <c r="D160" s="5">
        <f>VLOOKUP($C160,'Finished goods'!$A$5:$Q$27,2,FALSE)</f>
        <v>2</v>
      </c>
      <c r="E160" s="5">
        <f>VLOOKUP($C160,'Finished goods'!$A$5:$Q$27,3,FALSE)</f>
        <v>2</v>
      </c>
      <c r="F160" s="5">
        <f>VLOOKUP($C160,'Finished goods'!$A$5:$Q$27,4,FALSE)</f>
        <v>0.56999999999999995</v>
      </c>
      <c r="G160" s="5">
        <f>VLOOKUP($C160,'Finished goods'!$A$5:$Q$27,5,FALSE)</f>
        <v>57</v>
      </c>
      <c r="H160" s="8">
        <f>VLOOKUP($C160,'Finished goods'!$A$5:$Q$27,6,FALSE)</f>
        <v>3.69342133E-4</v>
      </c>
      <c r="I160" s="9">
        <f>VLOOKUP($C160,'Finished goods'!$A$5:$Q$27,7,FALSE)</f>
        <v>1.0259503694444445</v>
      </c>
      <c r="J160" s="9">
        <f>VLOOKUP($C160,'Finished goods'!$A$5:$Q$27,8,FALSE)</f>
        <v>0.92335533250000001</v>
      </c>
      <c r="R160" s="23">
        <v>2</v>
      </c>
      <c r="S160" s="6">
        <f t="shared" si="81"/>
        <v>114</v>
      </c>
      <c r="T160" s="6">
        <f t="shared" si="82"/>
        <v>2.051900738888889</v>
      </c>
      <c r="U160" s="4">
        <f t="shared" si="83"/>
        <v>1.846710665</v>
      </c>
      <c r="V160" s="16">
        <f>+S160*$M$3/'COST DATA'!$D$26</f>
        <v>0.96468148884327987</v>
      </c>
      <c r="W160" s="16">
        <f t="shared" si="85"/>
        <v>1.2537318704685E-2</v>
      </c>
      <c r="X160" s="27">
        <f t="shared" si="86"/>
        <v>17.955000000000002</v>
      </c>
      <c r="Y160" s="4">
        <f t="shared" si="87"/>
        <v>6.7123552123552122</v>
      </c>
      <c r="Z160" s="4">
        <f>+(S160/$S$3)*('Finished goods'!$Q$3*$S$1)</f>
        <v>0.30274562298571428</v>
      </c>
      <c r="AA160" s="4">
        <f>+'Finished goods'!$O$3*'Project Orto'!T160</f>
        <v>0.23785898625541477</v>
      </c>
      <c r="AB160" s="4"/>
      <c r="AC160" s="7">
        <f t="shared" si="88"/>
        <v>26.185178629144307</v>
      </c>
    </row>
    <row r="161" spans="1:29" x14ac:dyDescent="0.3">
      <c r="A161" s="243"/>
      <c r="B161" s="21" t="s">
        <v>123</v>
      </c>
      <c r="C161" s="4" t="str">
        <f t="shared" si="84"/>
        <v>Caraffa colonna dritta</v>
      </c>
      <c r="D161" s="5">
        <f>VLOOKUP($C161,'Finished goods'!$A$5:$Q$27,2,FALSE)</f>
        <v>2</v>
      </c>
      <c r="E161" s="5">
        <f>VLOOKUP($C161,'Finished goods'!$A$5:$Q$27,3,FALSE)</f>
        <v>1</v>
      </c>
      <c r="F161" s="5">
        <f>VLOOKUP($C161,'Finished goods'!$A$5:$Q$27,4,FALSE)</f>
        <v>1.4</v>
      </c>
      <c r="G161" s="5">
        <f>VLOOKUP($C161,'Finished goods'!$A$5:$Q$27,5,FALSE)</f>
        <v>100</v>
      </c>
      <c r="H161" s="8">
        <f>VLOOKUP($C161,'Finished goods'!$A$5:$Q$27,6,FALSE)</f>
        <v>3.2796365999999998E-4</v>
      </c>
      <c r="I161" s="9">
        <f>VLOOKUP($C161,'Finished goods'!$A$5:$Q$27,7,FALSE)</f>
        <v>0.91101016666666657</v>
      </c>
      <c r="J161" s="9">
        <f>VLOOKUP($C161,'Finished goods'!$A$5:$Q$27,8,FALSE)</f>
        <v>0.81990914999999998</v>
      </c>
      <c r="R161" s="23">
        <v>2</v>
      </c>
      <c r="S161" s="6">
        <f t="shared" si="81"/>
        <v>200</v>
      </c>
      <c r="T161" s="6">
        <f t="shared" si="82"/>
        <v>1.8220203333333331</v>
      </c>
      <c r="U161" s="4">
        <f t="shared" si="83"/>
        <v>1.6398183</v>
      </c>
      <c r="V161" s="16">
        <f>+S161*$M$3/'COST DATA'!$D$26</f>
        <v>1.6924236646373332</v>
      </c>
      <c r="W161" s="16">
        <f t="shared" si="85"/>
        <v>1.1132726438699999E-2</v>
      </c>
      <c r="X161" s="27">
        <f t="shared" si="86"/>
        <v>31.500000000000007</v>
      </c>
      <c r="Y161" s="4">
        <f t="shared" si="87"/>
        <v>11.776061776061777</v>
      </c>
      <c r="Z161" s="4">
        <f>+(S161/$S$3)*('Finished goods'!$Q$3*$S$1)</f>
        <v>0.53113267190476188</v>
      </c>
      <c r="AA161" s="4">
        <f>+'Finished goods'!$O$3*'Project Orto'!T161</f>
        <v>0.21121095246454188</v>
      </c>
      <c r="AB161" s="4"/>
      <c r="AC161" s="7">
        <f t="shared" si="88"/>
        <v>45.72196179150712</v>
      </c>
    </row>
    <row r="162" spans="1:29" x14ac:dyDescent="0.3">
      <c r="A162" s="243"/>
      <c r="B162" s="21" t="s">
        <v>123</v>
      </c>
      <c r="C162" s="4" t="str">
        <f t="shared" si="84"/>
        <v>Caraffa colonna twist1</v>
      </c>
      <c r="D162" s="5">
        <f>VLOOKUP($C162,'Finished goods'!$A$5:$Q$27,2,FALSE)</f>
        <v>2</v>
      </c>
      <c r="E162" s="5">
        <f>VLOOKUP($C162,'Finished goods'!$A$5:$Q$27,3,FALSE)</f>
        <v>1</v>
      </c>
      <c r="F162" s="5">
        <f>VLOOKUP($C162,'Finished goods'!$A$5:$Q$27,4,FALSE)</f>
        <v>1.41</v>
      </c>
      <c r="G162" s="5">
        <f>VLOOKUP($C162,'Finished goods'!$A$5:$Q$27,5,FALSE)</f>
        <v>101</v>
      </c>
      <c r="H162" s="8">
        <f>VLOOKUP($C162,'Finished goods'!$A$5:$Q$27,6,FALSE)</f>
        <v>3.323221E-4</v>
      </c>
      <c r="I162" s="9">
        <f>VLOOKUP($C162,'Finished goods'!$A$5:$Q$27,7,FALSE)</f>
        <v>0.92311694444444448</v>
      </c>
      <c r="J162" s="9">
        <f>VLOOKUP($C162,'Finished goods'!$A$5:$Q$27,8,FALSE)</f>
        <v>0.83080525000000005</v>
      </c>
      <c r="R162" s="23">
        <v>2</v>
      </c>
      <c r="S162" s="6">
        <f t="shared" si="81"/>
        <v>202</v>
      </c>
      <c r="T162" s="6">
        <f t="shared" si="82"/>
        <v>1.846233888888889</v>
      </c>
      <c r="U162" s="4">
        <f t="shared" si="83"/>
        <v>1.6616105000000001</v>
      </c>
      <c r="V162" s="16">
        <f>+S162*$M$3/'COST DATA'!$D$26</f>
        <v>1.7093479012837065</v>
      </c>
      <c r="W162" s="16">
        <f t="shared" si="85"/>
        <v>1.12806736845E-2</v>
      </c>
      <c r="X162" s="27">
        <f t="shared" si="86"/>
        <v>31.815000000000005</v>
      </c>
      <c r="Y162" s="4">
        <f t="shared" si="87"/>
        <v>11.893822393822393</v>
      </c>
      <c r="Z162" s="4">
        <f>+(S162/$S$3)*('Finished goods'!$Q$3*$S$1)</f>
        <v>0.53644399862380954</v>
      </c>
      <c r="AA162" s="4">
        <f>+'Finished goods'!$O$3*'Project Orto'!T162</f>
        <v>0.21401781912671894</v>
      </c>
      <c r="AB162" s="4"/>
      <c r="AC162" s="7">
        <f t="shared" si="88"/>
        <v>46.179912786541131</v>
      </c>
    </row>
    <row r="163" spans="1:29" x14ac:dyDescent="0.3">
      <c r="A163" s="243"/>
      <c r="B163" s="21" t="s">
        <v>123</v>
      </c>
      <c r="C163" s="4" t="str">
        <f t="shared" si="84"/>
        <v>Caraffa colonna twist2</v>
      </c>
      <c r="D163" s="5">
        <f>VLOOKUP($C163,'Finished goods'!$A$5:$Q$27,2,FALSE)</f>
        <v>2</v>
      </c>
      <c r="E163" s="5">
        <f>VLOOKUP($C163,'Finished goods'!$A$5:$Q$27,3,FALSE)</f>
        <v>1</v>
      </c>
      <c r="F163" s="5">
        <f>VLOOKUP($C163,'Finished goods'!$A$5:$Q$27,4,FALSE)</f>
        <v>1.45</v>
      </c>
      <c r="G163" s="5">
        <f>VLOOKUP($C163,'Finished goods'!$A$5:$Q$27,5,FALSE)</f>
        <v>105</v>
      </c>
      <c r="H163" s="8">
        <f>VLOOKUP($C163,'Finished goods'!$A$5:$Q$27,6,FALSE)</f>
        <v>3.4271101000000001E-4</v>
      </c>
      <c r="I163" s="9">
        <f>VLOOKUP($C163,'Finished goods'!$A$5:$Q$27,7,FALSE)</f>
        <v>0.95197502777777776</v>
      </c>
      <c r="J163" s="9">
        <f>VLOOKUP($C163,'Finished goods'!$A$5:$Q$27,8,FALSE)</f>
        <v>0.85677752500000004</v>
      </c>
      <c r="R163" s="23">
        <v>2</v>
      </c>
      <c r="S163" s="6">
        <f t="shared" si="81"/>
        <v>210</v>
      </c>
      <c r="T163" s="6">
        <f t="shared" si="82"/>
        <v>1.9039500555555555</v>
      </c>
      <c r="U163" s="4">
        <f t="shared" si="83"/>
        <v>1.7135550500000001</v>
      </c>
      <c r="V163" s="16">
        <f>+S163*$M$3/'COST DATA'!$D$26</f>
        <v>1.7770448478691998</v>
      </c>
      <c r="W163" s="16">
        <f t="shared" si="85"/>
        <v>1.1633325234450001E-2</v>
      </c>
      <c r="X163" s="27">
        <f t="shared" si="86"/>
        <v>33.075000000000003</v>
      </c>
      <c r="Y163" s="4">
        <f t="shared" si="87"/>
        <v>12.364864864864865</v>
      </c>
      <c r="Z163" s="4">
        <f>+(S163/$S$3)*('Finished goods'!$Q$3*$S$1)</f>
        <v>0.55768930550000007</v>
      </c>
      <c r="AA163" s="4">
        <f>+'Finished goods'!$O$3*'Project Orto'!T163</f>
        <v>0.22070835177953907</v>
      </c>
      <c r="AB163" s="4"/>
      <c r="AC163" s="7">
        <f t="shared" si="88"/>
        <v>48.006940695248055</v>
      </c>
    </row>
    <row r="164" spans="1:29" x14ac:dyDescent="0.3">
      <c r="A164" s="243"/>
      <c r="B164" s="21" t="s">
        <v>123</v>
      </c>
      <c r="C164" s="4" t="str">
        <f t="shared" si="84"/>
        <v>Caraffa colonna twist3</v>
      </c>
      <c r="D164" s="5">
        <f>VLOOKUP($C164,'Finished goods'!$A$5:$Q$27,2,FALSE)</f>
        <v>2</v>
      </c>
      <c r="E164" s="5">
        <f>VLOOKUP($C164,'Finished goods'!$A$5:$Q$27,3,FALSE)</f>
        <v>1</v>
      </c>
      <c r="F164" s="5">
        <f>VLOOKUP($C164,'Finished goods'!$A$5:$Q$27,4,FALSE)</f>
        <v>1.42</v>
      </c>
      <c r="G164" s="5">
        <f>VLOOKUP($C164,'Finished goods'!$A$5:$Q$27,5,FALSE)</f>
        <v>102</v>
      </c>
      <c r="H164" s="8">
        <f>VLOOKUP($C164,'Finished goods'!$A$5:$Q$27,6,FALSE)</f>
        <v>3.3727121999999998E-4</v>
      </c>
      <c r="I164" s="9">
        <f>VLOOKUP($C164,'Finished goods'!$A$5:$Q$27,7,FALSE)</f>
        <v>0.93686449999999988</v>
      </c>
      <c r="J164" s="9">
        <f>VLOOKUP($C164,'Finished goods'!$A$5:$Q$27,8,FALSE)</f>
        <v>0.8431780499999999</v>
      </c>
      <c r="R164" s="23">
        <v>2</v>
      </c>
      <c r="S164" s="6">
        <f t="shared" si="81"/>
        <v>204</v>
      </c>
      <c r="T164" s="6">
        <f t="shared" si="82"/>
        <v>1.8737289999999998</v>
      </c>
      <c r="U164" s="4">
        <f t="shared" si="83"/>
        <v>1.6863560999999998</v>
      </c>
      <c r="V164" s="16">
        <f>+S164*$M$3/'COST DATA'!$D$26</f>
        <v>1.7262721379300801</v>
      </c>
      <c r="W164" s="16">
        <f t="shared" si="85"/>
        <v>1.1448671562899998E-2</v>
      </c>
      <c r="X164" s="27">
        <f t="shared" si="86"/>
        <v>32.130000000000003</v>
      </c>
      <c r="Y164" s="4">
        <f t="shared" si="87"/>
        <v>12.011583011583012</v>
      </c>
      <c r="Z164" s="4">
        <f>+(S164/$S$3)*('Finished goods'!$Q$3*$S$1)</f>
        <v>0.5417553253428572</v>
      </c>
      <c r="AA164" s="4">
        <f>+'Finished goods'!$O$3*'Project Orto'!T164</f>
        <v>0.21720508795114082</v>
      </c>
      <c r="AB164" s="4"/>
      <c r="AC164" s="7">
        <f t="shared" si="88"/>
        <v>46.638264234369991</v>
      </c>
    </row>
    <row r="165" spans="1:29" x14ac:dyDescent="0.3">
      <c r="A165" s="243"/>
      <c r="B165" s="21" t="s">
        <v>123</v>
      </c>
      <c r="C165" s="4" t="str">
        <f t="shared" si="84"/>
        <v>Bicchiere colonna twist1</v>
      </c>
      <c r="D165" s="5">
        <f>VLOOKUP($C165,'Finished goods'!$A$5:$Q$27,2,FALSE)</f>
        <v>1</v>
      </c>
      <c r="E165" s="5">
        <f>VLOOKUP($C165,'Finished goods'!$A$5:$Q$27,3,FALSE)</f>
        <v>1</v>
      </c>
      <c r="F165" s="5">
        <f>VLOOKUP($C165,'Finished goods'!$A$5:$Q$27,4,FALSE)</f>
        <v>0.57999999999999996</v>
      </c>
      <c r="G165" s="5">
        <f>VLOOKUP($C165,'Finished goods'!$A$5:$Q$27,5,FALSE)</f>
        <v>58</v>
      </c>
      <c r="H165" s="8">
        <f>VLOOKUP($C165,'Finished goods'!$A$5:$Q$27,6,FALSE)</f>
        <v>9.7981700000000004E-5</v>
      </c>
      <c r="I165" s="9">
        <f>VLOOKUP($C165,'Finished goods'!$A$5:$Q$27,7,FALSE)</f>
        <v>0.27217138888888892</v>
      </c>
      <c r="J165" s="9">
        <f>VLOOKUP($C165,'Finished goods'!$A$5:$Q$27,8,FALSE)</f>
        <v>0.24495425000000001</v>
      </c>
      <c r="R165" s="23">
        <v>12</v>
      </c>
      <c r="S165" s="6">
        <f t="shared" si="81"/>
        <v>696</v>
      </c>
      <c r="T165" s="6">
        <f t="shared" si="82"/>
        <v>3.2660566666666671</v>
      </c>
      <c r="U165" s="4">
        <f t="shared" si="83"/>
        <v>2.939451</v>
      </c>
      <c r="V165" s="16">
        <f>+S165*$M$3/'COST DATA'!$D$26</f>
        <v>5.8896343529379198</v>
      </c>
      <c r="W165" s="16">
        <f t="shared" si="85"/>
        <v>1.9955932839000001E-2</v>
      </c>
      <c r="X165" s="27">
        <f t="shared" si="86"/>
        <v>109.62000000000002</v>
      </c>
      <c r="Y165" s="4">
        <f t="shared" si="87"/>
        <v>40.980694980694977</v>
      </c>
      <c r="Z165" s="4">
        <f>+(S165/$S$3)*('Finished goods'!$Q$3*$S$1)</f>
        <v>1.8483416982285714</v>
      </c>
      <c r="AA165" s="4">
        <f>+'Finished goods'!$O$3*'Project Orto'!T165</f>
        <v>0.37860551100865886</v>
      </c>
      <c r="AB165" s="4"/>
      <c r="AC165" s="7">
        <f t="shared" si="88"/>
        <v>158.73723247570913</v>
      </c>
    </row>
    <row r="166" spans="1:29" x14ac:dyDescent="0.3">
      <c r="A166" s="243"/>
      <c r="B166" s="21" t="s">
        <v>123</v>
      </c>
      <c r="C166" s="4" t="str">
        <f t="shared" si="84"/>
        <v>Bicchiere colonna twist2</v>
      </c>
      <c r="D166" s="5">
        <f>VLOOKUP($C166,'Finished goods'!$A$5:$Q$27,2,FALSE)</f>
        <v>1</v>
      </c>
      <c r="E166" s="5">
        <f>VLOOKUP($C166,'Finished goods'!$A$5:$Q$27,3,FALSE)</f>
        <v>1</v>
      </c>
      <c r="F166" s="5">
        <f>VLOOKUP($C166,'Finished goods'!$A$5:$Q$27,4,FALSE)</f>
        <v>0.59</v>
      </c>
      <c r="G166" s="5">
        <f>VLOOKUP($C166,'Finished goods'!$A$5:$Q$27,5,FALSE)</f>
        <v>59</v>
      </c>
      <c r="H166" s="8">
        <f>VLOOKUP($C166,'Finished goods'!$A$5:$Q$27,6,FALSE)</f>
        <v>9.7982366999999995E-5</v>
      </c>
      <c r="I166" s="9">
        <f>VLOOKUP($C166,'Finished goods'!$A$5:$Q$27,7,FALSE)</f>
        <v>0.27217324166666662</v>
      </c>
      <c r="J166" s="9">
        <f>VLOOKUP($C166,'Finished goods'!$A$5:$Q$27,8,FALSE)</f>
        <v>0.24495591749999998</v>
      </c>
      <c r="R166" s="23">
        <v>12</v>
      </c>
      <c r="S166" s="6">
        <f t="shared" si="81"/>
        <v>708</v>
      </c>
      <c r="T166" s="6">
        <f t="shared" si="82"/>
        <v>3.2660788999999992</v>
      </c>
      <c r="U166" s="4">
        <f t="shared" si="83"/>
        <v>2.9394710099999997</v>
      </c>
      <c r="V166" s="16">
        <f>+S166*$M$3/'COST DATA'!$D$26</f>
        <v>5.9911797728161593</v>
      </c>
      <c r="W166" s="16">
        <f t="shared" si="85"/>
        <v>1.9956068686889997E-2</v>
      </c>
      <c r="X166" s="27">
        <f t="shared" si="86"/>
        <v>111.51000000000002</v>
      </c>
      <c r="Y166" s="4">
        <f t="shared" si="87"/>
        <v>41.687258687258691</v>
      </c>
      <c r="Z166" s="4">
        <f>+(S166/$S$3)*('Finished goods'!$Q$3*$S$1)</f>
        <v>1.8802096585428572</v>
      </c>
      <c r="AA166" s="4">
        <f>+'Finished goods'!$O$3*'Project Orto'!T166</f>
        <v>0.37860808832540094</v>
      </c>
      <c r="AB166" s="4"/>
      <c r="AC166" s="7">
        <f t="shared" si="88"/>
        <v>161.46721227563</v>
      </c>
    </row>
    <row r="167" spans="1:29" x14ac:dyDescent="0.3">
      <c r="A167" s="243"/>
      <c r="B167" s="21" t="s">
        <v>123</v>
      </c>
      <c r="C167" s="4" t="str">
        <f t="shared" si="84"/>
        <v>Bicchiere colonna twist3</v>
      </c>
      <c r="D167" s="5">
        <f>VLOOKUP($C167,'Finished goods'!$A$5:$Q$27,2,FALSE)</f>
        <v>1</v>
      </c>
      <c r="E167" s="5">
        <f>VLOOKUP($C167,'Finished goods'!$A$5:$Q$27,3,FALSE)</f>
        <v>1</v>
      </c>
      <c r="F167" s="5">
        <f>VLOOKUP($C167,'Finished goods'!$A$5:$Q$27,4,FALSE)</f>
        <v>0.59</v>
      </c>
      <c r="G167" s="5">
        <f>VLOOKUP($C167,'Finished goods'!$A$5:$Q$27,5,FALSE)</f>
        <v>59</v>
      </c>
      <c r="H167" s="8">
        <f>VLOOKUP($C167,'Finished goods'!$A$5:$Q$27,6,FALSE)</f>
        <v>9.7984652999999995E-5</v>
      </c>
      <c r="I167" s="9">
        <f>VLOOKUP($C167,'Finished goods'!$A$5:$Q$27,7,FALSE)</f>
        <v>0.27217959166666666</v>
      </c>
      <c r="J167" s="9">
        <f>VLOOKUP($C167,'Finished goods'!$A$5:$Q$27,8,FALSE)</f>
        <v>0.2449616325</v>
      </c>
      <c r="R167" s="23">
        <v>12</v>
      </c>
      <c r="S167" s="6">
        <f t="shared" si="81"/>
        <v>708</v>
      </c>
      <c r="T167" s="6">
        <f t="shared" si="82"/>
        <v>3.2661550999999998</v>
      </c>
      <c r="U167" s="4">
        <f t="shared" si="83"/>
        <v>2.9395395899999999</v>
      </c>
      <c r="V167" s="16">
        <f>+S167*$M$3/'COST DATA'!$D$26</f>
        <v>5.9911797728161593</v>
      </c>
      <c r="W167" s="16">
        <f t="shared" si="85"/>
        <v>1.995653427651E-2</v>
      </c>
      <c r="X167" s="27">
        <f t="shared" si="86"/>
        <v>111.51000000000002</v>
      </c>
      <c r="Y167" s="4">
        <f t="shared" si="87"/>
        <v>41.687258687258691</v>
      </c>
      <c r="Z167" s="4">
        <f>+(S167/$S$3)*('Finished goods'!$Q$3*$S$1)</f>
        <v>1.8802096585428572</v>
      </c>
      <c r="AA167" s="4">
        <f>+'Finished goods'!$O$3*'Project Orto'!T167</f>
        <v>0.37861692152790888</v>
      </c>
      <c r="AB167" s="4"/>
      <c r="AC167" s="7">
        <f t="shared" si="88"/>
        <v>161.46722157442215</v>
      </c>
    </row>
    <row r="168" spans="1:29" x14ac:dyDescent="0.3">
      <c r="A168" s="244"/>
      <c r="B168" s="21" t="s">
        <v>123</v>
      </c>
      <c r="C168" s="4" t="str">
        <f t="shared" si="84"/>
        <v>Bicchiere colonna twist alto</v>
      </c>
      <c r="D168" s="5">
        <f>VLOOKUP($C168,'Finished goods'!$A$5:$Q$27,2,FALSE)</f>
        <v>1</v>
      </c>
      <c r="E168" s="5">
        <f>VLOOKUP($C168,'Finished goods'!$A$5:$Q$27,3,FALSE)</f>
        <v>1</v>
      </c>
      <c r="F168" s="5">
        <f>VLOOKUP($C168,'Finished goods'!$A$5:$Q$27,4,FALSE)</f>
        <v>0.57999999999999996</v>
      </c>
      <c r="G168" s="5">
        <f>VLOOKUP($C168,'Finished goods'!$A$5:$Q$27,5,FALSE)</f>
        <v>58</v>
      </c>
      <c r="H168" s="8">
        <f>VLOOKUP($C168,'Finished goods'!$A$5:$Q$27,6,FALSE)</f>
        <v>9.4065272999999995E-5</v>
      </c>
      <c r="I168" s="9">
        <f>VLOOKUP($C168,'Finished goods'!$A$5:$Q$27,7,FALSE)</f>
        <v>0.26129242499999999</v>
      </c>
      <c r="J168" s="9">
        <f>VLOOKUP($C168,'Finished goods'!$A$5:$Q$27,8,FALSE)</f>
        <v>0.23516318249999998</v>
      </c>
      <c r="R168" s="23">
        <v>12</v>
      </c>
      <c r="S168" s="6">
        <f t="shared" si="81"/>
        <v>696</v>
      </c>
      <c r="T168" s="6">
        <f t="shared" si="82"/>
        <v>3.1355091000000002</v>
      </c>
      <c r="U168" s="4">
        <f t="shared" si="83"/>
        <v>2.8219581899999997</v>
      </c>
      <c r="V168" s="16">
        <f>+S168*$M$3/'COST DATA'!$D$26</f>
        <v>5.8896343529379198</v>
      </c>
      <c r="W168" s="16">
        <f t="shared" si="85"/>
        <v>1.9158274151909998E-2</v>
      </c>
      <c r="X168" s="27">
        <f t="shared" si="86"/>
        <v>109.62000000000002</v>
      </c>
      <c r="Y168" s="4">
        <f t="shared" si="87"/>
        <v>40.980694980694977</v>
      </c>
      <c r="Z168" s="4">
        <f>+(S168/$S$3)*('Finished goods'!$Q$3*$S$1)</f>
        <v>1.8483416982285714</v>
      </c>
      <c r="AA168" s="4">
        <f>+'Finished goods'!$O$3*'Project Orto'!T168</f>
        <v>0.36347226831473628</v>
      </c>
      <c r="AB168" s="4"/>
      <c r="AC168" s="7">
        <f t="shared" si="88"/>
        <v>158.72130157432812</v>
      </c>
    </row>
    <row r="171" spans="1:29" ht="18" x14ac:dyDescent="0.35">
      <c r="D171" s="237" t="s">
        <v>40</v>
      </c>
      <c r="E171" s="237"/>
      <c r="F171" s="237"/>
      <c r="G171" s="23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4" t="s">
        <v>32</v>
      </c>
      <c r="S171" s="47">
        <f>+S173/60/7</f>
        <v>10.357142857142858</v>
      </c>
      <c r="T171" t="s">
        <v>83</v>
      </c>
    </row>
    <row r="172" spans="1:29" x14ac:dyDescent="0.3">
      <c r="D172" s="236" t="s">
        <v>33</v>
      </c>
      <c r="E172" s="236"/>
      <c r="F172" s="236"/>
      <c r="G172" s="236"/>
      <c r="H172" s="236"/>
      <c r="I172" s="236"/>
      <c r="J172" s="236"/>
      <c r="M172" s="236" t="s">
        <v>36</v>
      </c>
      <c r="N172" s="236"/>
      <c r="O172" s="236"/>
      <c r="P172" s="236"/>
      <c r="Q172" s="236"/>
      <c r="V172" s="241" t="s">
        <v>41</v>
      </c>
      <c r="W172" s="241"/>
      <c r="X172" s="241"/>
      <c r="Y172" s="241"/>
      <c r="Z172" s="241"/>
      <c r="AA172" s="241"/>
      <c r="AB172" s="241"/>
      <c r="AC172" s="241"/>
    </row>
    <row r="173" spans="1:29" ht="18" x14ac:dyDescent="0.35">
      <c r="F173" s="225" t="s">
        <v>44</v>
      </c>
      <c r="G173" s="225"/>
      <c r="I173" s="20">
        <f>SUBTOTAL(9,I175:I185)</f>
        <v>6.7672086749999991</v>
      </c>
      <c r="J173" s="20">
        <f>SUBTOTAL(9,J175:J185)</f>
        <v>6.0904878074999997</v>
      </c>
      <c r="K173" s="1">
        <f>+'Finished goods'!$I$3</f>
        <v>2500</v>
      </c>
      <c r="L173" s="1">
        <f>+'Finished goods'!$J$3</f>
        <v>0.9</v>
      </c>
      <c r="M173" s="15">
        <f>+'Finished goods'!$K$3</f>
        <v>0.50772709939119998</v>
      </c>
      <c r="N173" s="15">
        <f>+'Finished goods'!$L$3</f>
        <v>6.7889999999999999E-3</v>
      </c>
      <c r="O173" s="13">
        <f>+'Finished goods'!$M$3</f>
        <v>0.15750000000000003</v>
      </c>
      <c r="P173" s="46">
        <f>+'Finished goods'!$N$3</f>
        <v>5.8880308880308881E-2</v>
      </c>
      <c r="Q173" s="1"/>
      <c r="S173" s="17">
        <f t="shared" ref="S173:AC173" si="89">SUBTOTAL(9,S175:S185)</f>
        <v>4350</v>
      </c>
      <c r="T173" s="17">
        <f t="shared" si="89"/>
        <v>33.717334016666669</v>
      </c>
      <c r="U173" s="17">
        <f t="shared" si="89"/>
        <v>30.345600615000002</v>
      </c>
      <c r="V173" s="18">
        <f t="shared" si="89"/>
        <v>36.810214705862002</v>
      </c>
      <c r="W173" s="18">
        <f t="shared" si="89"/>
        <v>0.20601628257523499</v>
      </c>
      <c r="X173" s="18">
        <f t="shared" si="89"/>
        <v>685.125</v>
      </c>
      <c r="Y173" s="18">
        <f t="shared" si="89"/>
        <v>256.12934362934362</v>
      </c>
      <c r="Z173" s="18">
        <f t="shared" si="89"/>
        <v>11.552135613928572</v>
      </c>
      <c r="AA173" s="18">
        <f t="shared" si="89"/>
        <v>3.9085569474390782</v>
      </c>
      <c r="AB173" s="18">
        <f t="shared" si="89"/>
        <v>0</v>
      </c>
      <c r="AC173" s="19">
        <f t="shared" si="89"/>
        <v>993.73126717914852</v>
      </c>
    </row>
    <row r="174" spans="1:29" x14ac:dyDescent="0.3">
      <c r="A174" s="1" t="s">
        <v>145</v>
      </c>
      <c r="B174" s="1" t="s">
        <v>30</v>
      </c>
      <c r="C174" s="1" t="s">
        <v>0</v>
      </c>
      <c r="D174" s="1" t="s">
        <v>4</v>
      </c>
      <c r="E174" s="1" t="s">
        <v>5</v>
      </c>
      <c r="F174" s="1" t="s">
        <v>45</v>
      </c>
      <c r="G174" s="1" t="s">
        <v>57</v>
      </c>
      <c r="H174" s="1" t="s">
        <v>6</v>
      </c>
      <c r="I174" s="1" t="s">
        <v>2</v>
      </c>
      <c r="J174" s="1" t="s">
        <v>7</v>
      </c>
      <c r="K174" s="1" t="s">
        <v>31</v>
      </c>
      <c r="L174" s="1" t="s">
        <v>8</v>
      </c>
      <c r="M174" s="1" t="s">
        <v>34</v>
      </c>
      <c r="N174" s="1" t="s">
        <v>35</v>
      </c>
      <c r="O174" s="1" t="s">
        <v>37</v>
      </c>
      <c r="P174" s="1" t="s">
        <v>79</v>
      </c>
      <c r="Q174" s="1" t="s">
        <v>38</v>
      </c>
      <c r="R174" s="1" t="s">
        <v>39</v>
      </c>
      <c r="S174" s="2" t="s">
        <v>43</v>
      </c>
      <c r="T174" s="2" t="s">
        <v>2</v>
      </c>
      <c r="U174" s="2" t="s">
        <v>7</v>
      </c>
      <c r="V174" s="2">
        <f>+'Finished goods'!K174</f>
        <v>0</v>
      </c>
      <c r="W174" s="2">
        <f>+'Finished goods'!L174</f>
        <v>0</v>
      </c>
      <c r="X174" s="2">
        <f>+'Finished goods'!M174</f>
        <v>0</v>
      </c>
      <c r="Y174" s="2">
        <f>+'Finished goods'!N174</f>
        <v>0</v>
      </c>
      <c r="Z174" s="2">
        <f>+'Finished goods'!Q174</f>
        <v>0</v>
      </c>
      <c r="AA174" s="3" t="s">
        <v>111</v>
      </c>
      <c r="AB174" s="3" t="s">
        <v>115</v>
      </c>
      <c r="AC174" s="3" t="s">
        <v>42</v>
      </c>
    </row>
    <row r="175" spans="1:29" ht="14.4" customHeight="1" x14ac:dyDescent="0.3">
      <c r="A175" s="242" t="s">
        <v>421</v>
      </c>
      <c r="B175" s="21" t="s">
        <v>123</v>
      </c>
      <c r="C175" s="4" t="str">
        <f>+C158</f>
        <v>Bicchiere curve dritto</v>
      </c>
      <c r="D175" s="5">
        <f>VLOOKUP($C175,'Finished goods'!$A$5:$Q$27,2,FALSE)</f>
        <v>2</v>
      </c>
      <c r="E175" s="5">
        <f>VLOOKUP($C175,'Finished goods'!$A$5:$Q$27,3,FALSE)</f>
        <v>2</v>
      </c>
      <c r="F175" s="5">
        <f>VLOOKUP($C175,'Finished goods'!$A$5:$Q$27,4,FALSE)</f>
        <v>0.26</v>
      </c>
      <c r="G175" s="5">
        <f>VLOOKUP($C175,'Finished goods'!$A$5:$Q$27,5,FALSE)</f>
        <v>26</v>
      </c>
      <c r="H175" s="8">
        <f>VLOOKUP($C175,'Finished goods'!$A$5:$Q$27,6,FALSE)</f>
        <v>1.6928511099999999E-4</v>
      </c>
      <c r="I175" s="9">
        <f>VLOOKUP($C175,'Finished goods'!$A$5:$Q$27,7,FALSE)</f>
        <v>0.47023641944444439</v>
      </c>
      <c r="J175" s="9">
        <f>VLOOKUP($C175,'Finished goods'!$A$5:$Q$27,8,FALSE)</f>
        <v>0.42321277749999997</v>
      </c>
      <c r="R175" s="23">
        <v>12</v>
      </c>
      <c r="S175" s="6">
        <f t="shared" ref="S175:S185" si="90">+G175*$R175</f>
        <v>312</v>
      </c>
      <c r="T175" s="6">
        <f t="shared" ref="T175:T185" si="91">+I175*$R175</f>
        <v>5.6428370333333326</v>
      </c>
      <c r="U175" s="4">
        <f t="shared" ref="U175:U185" si="92">+J175*$R175</f>
        <v>5.0785533300000001</v>
      </c>
      <c r="V175" s="16">
        <f>+S175*$M$3/'COST DATA'!$D$26</f>
        <v>2.6401809168342401</v>
      </c>
      <c r="W175" s="16">
        <f>+U175*$N$3</f>
        <v>3.4478298557370002E-2</v>
      </c>
      <c r="X175" s="27">
        <f>+S175*$O$3</f>
        <v>49.140000000000008</v>
      </c>
      <c r="Y175" s="4">
        <f>+S175*$P$3</f>
        <v>18.37065637065637</v>
      </c>
      <c r="Z175" s="4">
        <f>+(S175/$S$3)*('Finished goods'!$Q$3*$S$1)</f>
        <v>0.82856696817142861</v>
      </c>
      <c r="AA175" s="4">
        <f>+'Finished goods'!$O$3*'Project Orto'!T175</f>
        <v>0.65412496370559525</v>
      </c>
      <c r="AB175" s="4"/>
      <c r="AC175" s="7">
        <f>+V175+W175+X175+Y175+Z175+AA175+AB175</f>
        <v>71.668007517925005</v>
      </c>
    </row>
    <row r="176" spans="1:29" x14ac:dyDescent="0.3">
      <c r="A176" s="243"/>
      <c r="B176" s="21" t="s">
        <v>123</v>
      </c>
      <c r="C176" s="4" t="str">
        <f t="shared" ref="C176:C185" si="93">+C159</f>
        <v>Bicchiere curve twist</v>
      </c>
      <c r="D176" s="5">
        <f>VLOOKUP($C176,'Finished goods'!$A$5:$Q$27,2,FALSE)</f>
        <v>2</v>
      </c>
      <c r="E176" s="5">
        <f>VLOOKUP($C176,'Finished goods'!$A$5:$Q$27,3,FALSE)</f>
        <v>2</v>
      </c>
      <c r="F176" s="5">
        <f>VLOOKUP($C176,'Finished goods'!$A$5:$Q$27,4,FALSE)</f>
        <v>0.25</v>
      </c>
      <c r="G176" s="5">
        <f>VLOOKUP($C176,'Finished goods'!$A$5:$Q$27,5,FALSE)</f>
        <v>25</v>
      </c>
      <c r="H176" s="8">
        <f>VLOOKUP($C176,'Finished goods'!$A$5:$Q$27,6,FALSE)</f>
        <v>1.69285896E-4</v>
      </c>
      <c r="I176" s="9">
        <f>VLOOKUP($C176,'Finished goods'!$A$5:$Q$27,7,FALSE)</f>
        <v>0.47023859999999995</v>
      </c>
      <c r="J176" s="9">
        <f>VLOOKUP($C176,'Finished goods'!$A$5:$Q$27,8,FALSE)</f>
        <v>0.42321473999999998</v>
      </c>
      <c r="R176" s="23">
        <v>12</v>
      </c>
      <c r="S176" s="6">
        <f t="shared" si="90"/>
        <v>300</v>
      </c>
      <c r="T176" s="6">
        <f t="shared" si="91"/>
        <v>5.642863199999999</v>
      </c>
      <c r="U176" s="4">
        <f t="shared" si="92"/>
        <v>5.07857688</v>
      </c>
      <c r="V176" s="16">
        <f>+S176*$M$3/'COST DATA'!$D$26</f>
        <v>2.5386354969559997</v>
      </c>
      <c r="W176" s="16">
        <f t="shared" ref="W176:W185" si="94">+U176*$N$3</f>
        <v>3.4478458438320002E-2</v>
      </c>
      <c r="X176" s="27">
        <f t="shared" ref="X176:X185" si="95">+S176*$O$3</f>
        <v>47.250000000000007</v>
      </c>
      <c r="Y176" s="4">
        <f t="shared" ref="Y176:Y185" si="96">+S176*$P$3</f>
        <v>17.664092664092664</v>
      </c>
      <c r="Z176" s="4">
        <f>+(S176/$S$3)*('Finished goods'!$Q$3*$S$1)</f>
        <v>0.79669900785714287</v>
      </c>
      <c r="AA176" s="4">
        <f>+'Finished goods'!$O$3*'Project Orto'!T176</f>
        <v>0.65412799697942225</v>
      </c>
      <c r="AB176" s="4"/>
      <c r="AC176" s="7">
        <f t="shared" ref="AC176:AC185" si="97">+V176+W176+X176+Y176+Z176+AA176+AB176</f>
        <v>68.938033624323552</v>
      </c>
    </row>
    <row r="177" spans="1:29" x14ac:dyDescent="0.3">
      <c r="A177" s="243"/>
      <c r="B177" s="21" t="s">
        <v>123</v>
      </c>
      <c r="C177" s="4" t="str">
        <f t="shared" si="93"/>
        <v>Caraffa curva</v>
      </c>
      <c r="D177" s="5">
        <f>VLOOKUP($C177,'Finished goods'!$A$5:$Q$27,2,FALSE)</f>
        <v>2</v>
      </c>
      <c r="E177" s="5">
        <f>VLOOKUP($C177,'Finished goods'!$A$5:$Q$27,3,FALSE)</f>
        <v>2</v>
      </c>
      <c r="F177" s="5">
        <f>VLOOKUP($C177,'Finished goods'!$A$5:$Q$27,4,FALSE)</f>
        <v>0.56999999999999995</v>
      </c>
      <c r="G177" s="5">
        <f>VLOOKUP($C177,'Finished goods'!$A$5:$Q$27,5,FALSE)</f>
        <v>57</v>
      </c>
      <c r="H177" s="8">
        <f>VLOOKUP($C177,'Finished goods'!$A$5:$Q$27,6,FALSE)</f>
        <v>3.69342133E-4</v>
      </c>
      <c r="I177" s="9">
        <f>VLOOKUP($C177,'Finished goods'!$A$5:$Q$27,7,FALSE)</f>
        <v>1.0259503694444445</v>
      </c>
      <c r="J177" s="9">
        <f>VLOOKUP($C177,'Finished goods'!$A$5:$Q$27,8,FALSE)</f>
        <v>0.92335533250000001</v>
      </c>
      <c r="R177" s="23">
        <v>2</v>
      </c>
      <c r="S177" s="6">
        <f t="shared" si="90"/>
        <v>114</v>
      </c>
      <c r="T177" s="6">
        <f t="shared" si="91"/>
        <v>2.051900738888889</v>
      </c>
      <c r="U177" s="4">
        <f t="shared" si="92"/>
        <v>1.846710665</v>
      </c>
      <c r="V177" s="16">
        <f>+S177*$M$3/'COST DATA'!$D$26</f>
        <v>0.96468148884327987</v>
      </c>
      <c r="W177" s="16">
        <f t="shared" si="94"/>
        <v>1.2537318704685E-2</v>
      </c>
      <c r="X177" s="27">
        <f t="shared" si="95"/>
        <v>17.955000000000002</v>
      </c>
      <c r="Y177" s="4">
        <f t="shared" si="96"/>
        <v>6.7123552123552122</v>
      </c>
      <c r="Z177" s="4">
        <f>+(S177/$S$3)*('Finished goods'!$Q$3*$S$1)</f>
        <v>0.30274562298571428</v>
      </c>
      <c r="AA177" s="4">
        <f>+'Finished goods'!$O$3*'Project Orto'!T177</f>
        <v>0.23785898625541477</v>
      </c>
      <c r="AB177" s="4"/>
      <c r="AC177" s="7">
        <f t="shared" si="97"/>
        <v>26.185178629144307</v>
      </c>
    </row>
    <row r="178" spans="1:29" x14ac:dyDescent="0.3">
      <c r="A178" s="243"/>
      <c r="B178" s="21" t="s">
        <v>123</v>
      </c>
      <c r="C178" s="4" t="str">
        <f t="shared" si="93"/>
        <v>Caraffa colonna dritta</v>
      </c>
      <c r="D178" s="5">
        <f>VLOOKUP($C178,'Finished goods'!$A$5:$Q$27,2,FALSE)</f>
        <v>2</v>
      </c>
      <c r="E178" s="5">
        <f>VLOOKUP($C178,'Finished goods'!$A$5:$Q$27,3,FALSE)</f>
        <v>1</v>
      </c>
      <c r="F178" s="5">
        <f>VLOOKUP($C178,'Finished goods'!$A$5:$Q$27,4,FALSE)</f>
        <v>1.4</v>
      </c>
      <c r="G178" s="5">
        <f>VLOOKUP($C178,'Finished goods'!$A$5:$Q$27,5,FALSE)</f>
        <v>100</v>
      </c>
      <c r="H178" s="8">
        <f>VLOOKUP($C178,'Finished goods'!$A$5:$Q$27,6,FALSE)</f>
        <v>3.2796365999999998E-4</v>
      </c>
      <c r="I178" s="9">
        <f>VLOOKUP($C178,'Finished goods'!$A$5:$Q$27,7,FALSE)</f>
        <v>0.91101016666666657</v>
      </c>
      <c r="J178" s="9">
        <f>VLOOKUP($C178,'Finished goods'!$A$5:$Q$27,8,FALSE)</f>
        <v>0.81990914999999998</v>
      </c>
      <c r="R178" s="23">
        <v>2</v>
      </c>
      <c r="S178" s="6">
        <f t="shared" si="90"/>
        <v>200</v>
      </c>
      <c r="T178" s="6">
        <f t="shared" si="91"/>
        <v>1.8220203333333331</v>
      </c>
      <c r="U178" s="4">
        <f t="shared" si="92"/>
        <v>1.6398183</v>
      </c>
      <c r="V178" s="16">
        <f>+S178*$M$3/'COST DATA'!$D$26</f>
        <v>1.6924236646373332</v>
      </c>
      <c r="W178" s="16">
        <f t="shared" si="94"/>
        <v>1.1132726438699999E-2</v>
      </c>
      <c r="X178" s="27">
        <f t="shared" si="95"/>
        <v>31.500000000000007</v>
      </c>
      <c r="Y178" s="4">
        <f t="shared" si="96"/>
        <v>11.776061776061777</v>
      </c>
      <c r="Z178" s="4">
        <f>+(S178/$S$3)*('Finished goods'!$Q$3*$S$1)</f>
        <v>0.53113267190476188</v>
      </c>
      <c r="AA178" s="4">
        <f>+'Finished goods'!$O$3*'Project Orto'!T178</f>
        <v>0.21121095246454188</v>
      </c>
      <c r="AB178" s="4"/>
      <c r="AC178" s="7">
        <f t="shared" si="97"/>
        <v>45.72196179150712</v>
      </c>
    </row>
    <row r="179" spans="1:29" x14ac:dyDescent="0.3">
      <c r="A179" s="243"/>
      <c r="B179" s="21" t="s">
        <v>123</v>
      </c>
      <c r="C179" s="4" t="str">
        <f t="shared" si="93"/>
        <v>Caraffa colonna twist1</v>
      </c>
      <c r="D179" s="5">
        <f>VLOOKUP($C179,'Finished goods'!$A$5:$Q$27,2,FALSE)</f>
        <v>2</v>
      </c>
      <c r="E179" s="5">
        <f>VLOOKUP($C179,'Finished goods'!$A$5:$Q$27,3,FALSE)</f>
        <v>1</v>
      </c>
      <c r="F179" s="5">
        <f>VLOOKUP($C179,'Finished goods'!$A$5:$Q$27,4,FALSE)</f>
        <v>1.41</v>
      </c>
      <c r="G179" s="5">
        <f>VLOOKUP($C179,'Finished goods'!$A$5:$Q$27,5,FALSE)</f>
        <v>101</v>
      </c>
      <c r="H179" s="8">
        <f>VLOOKUP($C179,'Finished goods'!$A$5:$Q$27,6,FALSE)</f>
        <v>3.323221E-4</v>
      </c>
      <c r="I179" s="9">
        <f>VLOOKUP($C179,'Finished goods'!$A$5:$Q$27,7,FALSE)</f>
        <v>0.92311694444444448</v>
      </c>
      <c r="J179" s="9">
        <f>VLOOKUP($C179,'Finished goods'!$A$5:$Q$27,8,FALSE)</f>
        <v>0.83080525000000005</v>
      </c>
      <c r="R179" s="23">
        <v>2</v>
      </c>
      <c r="S179" s="6">
        <f t="shared" si="90"/>
        <v>202</v>
      </c>
      <c r="T179" s="6">
        <f t="shared" si="91"/>
        <v>1.846233888888889</v>
      </c>
      <c r="U179" s="4">
        <f t="shared" si="92"/>
        <v>1.6616105000000001</v>
      </c>
      <c r="V179" s="16">
        <f>+S179*$M$3/'COST DATA'!$D$26</f>
        <v>1.7093479012837065</v>
      </c>
      <c r="W179" s="16">
        <f t="shared" si="94"/>
        <v>1.12806736845E-2</v>
      </c>
      <c r="X179" s="27">
        <f t="shared" si="95"/>
        <v>31.815000000000005</v>
      </c>
      <c r="Y179" s="4">
        <f t="shared" si="96"/>
        <v>11.893822393822393</v>
      </c>
      <c r="Z179" s="4">
        <f>+(S179/$S$3)*('Finished goods'!$Q$3*$S$1)</f>
        <v>0.53644399862380954</v>
      </c>
      <c r="AA179" s="4">
        <f>+'Finished goods'!$O$3*'Project Orto'!T179</f>
        <v>0.21401781912671894</v>
      </c>
      <c r="AB179" s="4"/>
      <c r="AC179" s="7">
        <f t="shared" si="97"/>
        <v>46.179912786541131</v>
      </c>
    </row>
    <row r="180" spans="1:29" x14ac:dyDescent="0.3">
      <c r="A180" s="243"/>
      <c r="B180" s="21" t="s">
        <v>123</v>
      </c>
      <c r="C180" s="4" t="str">
        <f t="shared" si="93"/>
        <v>Caraffa colonna twist2</v>
      </c>
      <c r="D180" s="5">
        <f>VLOOKUP($C180,'Finished goods'!$A$5:$Q$27,2,FALSE)</f>
        <v>2</v>
      </c>
      <c r="E180" s="5">
        <f>VLOOKUP($C180,'Finished goods'!$A$5:$Q$27,3,FALSE)</f>
        <v>1</v>
      </c>
      <c r="F180" s="5">
        <f>VLOOKUP($C180,'Finished goods'!$A$5:$Q$27,4,FALSE)</f>
        <v>1.45</v>
      </c>
      <c r="G180" s="5">
        <f>VLOOKUP($C180,'Finished goods'!$A$5:$Q$27,5,FALSE)</f>
        <v>105</v>
      </c>
      <c r="H180" s="8">
        <f>VLOOKUP($C180,'Finished goods'!$A$5:$Q$27,6,FALSE)</f>
        <v>3.4271101000000001E-4</v>
      </c>
      <c r="I180" s="9">
        <f>VLOOKUP($C180,'Finished goods'!$A$5:$Q$27,7,FALSE)</f>
        <v>0.95197502777777776</v>
      </c>
      <c r="J180" s="9">
        <f>VLOOKUP($C180,'Finished goods'!$A$5:$Q$27,8,FALSE)</f>
        <v>0.85677752500000004</v>
      </c>
      <c r="R180" s="23">
        <v>2</v>
      </c>
      <c r="S180" s="6">
        <f t="shared" si="90"/>
        <v>210</v>
      </c>
      <c r="T180" s="6">
        <f t="shared" si="91"/>
        <v>1.9039500555555555</v>
      </c>
      <c r="U180" s="4">
        <f t="shared" si="92"/>
        <v>1.7135550500000001</v>
      </c>
      <c r="V180" s="16">
        <f>+S180*$M$3/'COST DATA'!$D$26</f>
        <v>1.7770448478691998</v>
      </c>
      <c r="W180" s="16">
        <f t="shared" si="94"/>
        <v>1.1633325234450001E-2</v>
      </c>
      <c r="X180" s="27">
        <f t="shared" si="95"/>
        <v>33.075000000000003</v>
      </c>
      <c r="Y180" s="4">
        <f t="shared" si="96"/>
        <v>12.364864864864865</v>
      </c>
      <c r="Z180" s="4">
        <f>+(S180/$S$3)*('Finished goods'!$Q$3*$S$1)</f>
        <v>0.55768930550000007</v>
      </c>
      <c r="AA180" s="4">
        <f>+'Finished goods'!$O$3*'Project Orto'!T180</f>
        <v>0.22070835177953907</v>
      </c>
      <c r="AB180" s="4"/>
      <c r="AC180" s="7">
        <f t="shared" si="97"/>
        <v>48.006940695248055</v>
      </c>
    </row>
    <row r="181" spans="1:29" x14ac:dyDescent="0.3">
      <c r="A181" s="243"/>
      <c r="B181" s="21" t="s">
        <v>123</v>
      </c>
      <c r="C181" s="4" t="str">
        <f t="shared" si="93"/>
        <v>Caraffa colonna twist3</v>
      </c>
      <c r="D181" s="5">
        <f>VLOOKUP($C181,'Finished goods'!$A$5:$Q$27,2,FALSE)</f>
        <v>2</v>
      </c>
      <c r="E181" s="5">
        <f>VLOOKUP($C181,'Finished goods'!$A$5:$Q$27,3,FALSE)</f>
        <v>1</v>
      </c>
      <c r="F181" s="5">
        <f>VLOOKUP($C181,'Finished goods'!$A$5:$Q$27,4,FALSE)</f>
        <v>1.42</v>
      </c>
      <c r="G181" s="5">
        <f>VLOOKUP($C181,'Finished goods'!$A$5:$Q$27,5,FALSE)</f>
        <v>102</v>
      </c>
      <c r="H181" s="8">
        <f>VLOOKUP($C181,'Finished goods'!$A$5:$Q$27,6,FALSE)</f>
        <v>3.3727121999999998E-4</v>
      </c>
      <c r="I181" s="9">
        <f>VLOOKUP($C181,'Finished goods'!$A$5:$Q$27,7,FALSE)</f>
        <v>0.93686449999999988</v>
      </c>
      <c r="J181" s="9">
        <f>VLOOKUP($C181,'Finished goods'!$A$5:$Q$27,8,FALSE)</f>
        <v>0.8431780499999999</v>
      </c>
      <c r="R181" s="23">
        <v>2</v>
      </c>
      <c r="S181" s="6">
        <f t="shared" si="90"/>
        <v>204</v>
      </c>
      <c r="T181" s="6">
        <f t="shared" si="91"/>
        <v>1.8737289999999998</v>
      </c>
      <c r="U181" s="4">
        <f t="shared" si="92"/>
        <v>1.6863560999999998</v>
      </c>
      <c r="V181" s="16">
        <f>+S181*$M$3/'COST DATA'!$D$26</f>
        <v>1.7262721379300801</v>
      </c>
      <c r="W181" s="16">
        <f t="shared" si="94"/>
        <v>1.1448671562899998E-2</v>
      </c>
      <c r="X181" s="27">
        <f t="shared" si="95"/>
        <v>32.130000000000003</v>
      </c>
      <c r="Y181" s="4">
        <f t="shared" si="96"/>
        <v>12.011583011583012</v>
      </c>
      <c r="Z181" s="4">
        <f>+(S181/$S$3)*('Finished goods'!$Q$3*$S$1)</f>
        <v>0.5417553253428572</v>
      </c>
      <c r="AA181" s="4">
        <f>+'Finished goods'!$O$3*'Project Orto'!T181</f>
        <v>0.21720508795114082</v>
      </c>
      <c r="AB181" s="4"/>
      <c r="AC181" s="7">
        <f t="shared" si="97"/>
        <v>46.638264234369991</v>
      </c>
    </row>
    <row r="182" spans="1:29" x14ac:dyDescent="0.3">
      <c r="A182" s="243"/>
      <c r="B182" s="21" t="s">
        <v>123</v>
      </c>
      <c r="C182" s="4" t="str">
        <f t="shared" si="93"/>
        <v>Bicchiere colonna twist1</v>
      </c>
      <c r="D182" s="5">
        <f>VLOOKUP($C182,'Finished goods'!$A$5:$Q$27,2,FALSE)</f>
        <v>1</v>
      </c>
      <c r="E182" s="5">
        <f>VLOOKUP($C182,'Finished goods'!$A$5:$Q$27,3,FALSE)</f>
        <v>1</v>
      </c>
      <c r="F182" s="5">
        <f>VLOOKUP($C182,'Finished goods'!$A$5:$Q$27,4,FALSE)</f>
        <v>0.57999999999999996</v>
      </c>
      <c r="G182" s="5">
        <f>VLOOKUP($C182,'Finished goods'!$A$5:$Q$27,5,FALSE)</f>
        <v>58</v>
      </c>
      <c r="H182" s="8">
        <f>VLOOKUP($C182,'Finished goods'!$A$5:$Q$27,6,FALSE)</f>
        <v>9.7981700000000004E-5</v>
      </c>
      <c r="I182" s="9">
        <f>VLOOKUP($C182,'Finished goods'!$A$5:$Q$27,7,FALSE)</f>
        <v>0.27217138888888892</v>
      </c>
      <c r="J182" s="9">
        <f>VLOOKUP($C182,'Finished goods'!$A$5:$Q$27,8,FALSE)</f>
        <v>0.24495425000000001</v>
      </c>
      <c r="R182" s="23">
        <v>12</v>
      </c>
      <c r="S182" s="6">
        <f t="shared" si="90"/>
        <v>696</v>
      </c>
      <c r="T182" s="6">
        <f t="shared" si="91"/>
        <v>3.2660566666666671</v>
      </c>
      <c r="U182" s="4">
        <f t="shared" si="92"/>
        <v>2.939451</v>
      </c>
      <c r="V182" s="16">
        <f>+S182*$M$3/'COST DATA'!$D$26</f>
        <v>5.8896343529379198</v>
      </c>
      <c r="W182" s="16">
        <f t="shared" si="94"/>
        <v>1.9955932839000001E-2</v>
      </c>
      <c r="X182" s="27">
        <f t="shared" si="95"/>
        <v>109.62000000000002</v>
      </c>
      <c r="Y182" s="4">
        <f t="shared" si="96"/>
        <v>40.980694980694977</v>
      </c>
      <c r="Z182" s="4">
        <f>+(S182/$S$3)*('Finished goods'!$Q$3*$S$1)</f>
        <v>1.8483416982285714</v>
      </c>
      <c r="AA182" s="4">
        <f>+'Finished goods'!$O$3*'Project Orto'!T182</f>
        <v>0.37860551100865886</v>
      </c>
      <c r="AB182" s="4"/>
      <c r="AC182" s="7">
        <f t="shared" si="97"/>
        <v>158.73723247570913</v>
      </c>
    </row>
    <row r="183" spans="1:29" x14ac:dyDescent="0.3">
      <c r="A183" s="243"/>
      <c r="B183" s="21" t="s">
        <v>123</v>
      </c>
      <c r="C183" s="4" t="str">
        <f t="shared" si="93"/>
        <v>Bicchiere colonna twist2</v>
      </c>
      <c r="D183" s="5">
        <f>VLOOKUP($C183,'Finished goods'!$A$5:$Q$27,2,FALSE)</f>
        <v>1</v>
      </c>
      <c r="E183" s="5">
        <f>VLOOKUP($C183,'Finished goods'!$A$5:$Q$27,3,FALSE)</f>
        <v>1</v>
      </c>
      <c r="F183" s="5">
        <f>VLOOKUP($C183,'Finished goods'!$A$5:$Q$27,4,FALSE)</f>
        <v>0.59</v>
      </c>
      <c r="G183" s="5">
        <f>VLOOKUP($C183,'Finished goods'!$A$5:$Q$27,5,FALSE)</f>
        <v>59</v>
      </c>
      <c r="H183" s="8">
        <f>VLOOKUP($C183,'Finished goods'!$A$5:$Q$27,6,FALSE)</f>
        <v>9.7982366999999995E-5</v>
      </c>
      <c r="I183" s="9">
        <f>VLOOKUP($C183,'Finished goods'!$A$5:$Q$27,7,FALSE)</f>
        <v>0.27217324166666662</v>
      </c>
      <c r="J183" s="9">
        <f>VLOOKUP($C183,'Finished goods'!$A$5:$Q$27,8,FALSE)</f>
        <v>0.24495591749999998</v>
      </c>
      <c r="R183" s="23">
        <v>12</v>
      </c>
      <c r="S183" s="6">
        <f t="shared" si="90"/>
        <v>708</v>
      </c>
      <c r="T183" s="6">
        <f t="shared" si="91"/>
        <v>3.2660788999999992</v>
      </c>
      <c r="U183" s="4">
        <f t="shared" si="92"/>
        <v>2.9394710099999997</v>
      </c>
      <c r="V183" s="16">
        <f>+S183*$M$3/'COST DATA'!$D$26</f>
        <v>5.9911797728161593</v>
      </c>
      <c r="W183" s="16">
        <f t="shared" si="94"/>
        <v>1.9956068686889997E-2</v>
      </c>
      <c r="X183" s="27">
        <f t="shared" si="95"/>
        <v>111.51000000000002</v>
      </c>
      <c r="Y183" s="4">
        <f t="shared" si="96"/>
        <v>41.687258687258691</v>
      </c>
      <c r="Z183" s="4">
        <f>+(S183/$S$3)*('Finished goods'!$Q$3*$S$1)</f>
        <v>1.8802096585428572</v>
      </c>
      <c r="AA183" s="4">
        <f>+'Finished goods'!$O$3*'Project Orto'!T183</f>
        <v>0.37860808832540094</v>
      </c>
      <c r="AB183" s="4"/>
      <c r="AC183" s="7">
        <f t="shared" si="97"/>
        <v>161.46721227563</v>
      </c>
    </row>
    <row r="184" spans="1:29" x14ac:dyDescent="0.3">
      <c r="A184" s="243"/>
      <c r="B184" s="21" t="s">
        <v>123</v>
      </c>
      <c r="C184" s="4" t="str">
        <f t="shared" si="93"/>
        <v>Bicchiere colonna twist3</v>
      </c>
      <c r="D184" s="5">
        <f>VLOOKUP($C184,'Finished goods'!$A$5:$Q$27,2,FALSE)</f>
        <v>1</v>
      </c>
      <c r="E184" s="5">
        <f>VLOOKUP($C184,'Finished goods'!$A$5:$Q$27,3,FALSE)</f>
        <v>1</v>
      </c>
      <c r="F184" s="5">
        <f>VLOOKUP($C184,'Finished goods'!$A$5:$Q$27,4,FALSE)</f>
        <v>0.59</v>
      </c>
      <c r="G184" s="5">
        <f>VLOOKUP($C184,'Finished goods'!$A$5:$Q$27,5,FALSE)</f>
        <v>59</v>
      </c>
      <c r="H184" s="8">
        <f>VLOOKUP($C184,'Finished goods'!$A$5:$Q$27,6,FALSE)</f>
        <v>9.7984652999999995E-5</v>
      </c>
      <c r="I184" s="9">
        <f>VLOOKUP($C184,'Finished goods'!$A$5:$Q$27,7,FALSE)</f>
        <v>0.27217959166666666</v>
      </c>
      <c r="J184" s="9">
        <f>VLOOKUP($C184,'Finished goods'!$A$5:$Q$27,8,FALSE)</f>
        <v>0.2449616325</v>
      </c>
      <c r="R184" s="23">
        <v>12</v>
      </c>
      <c r="S184" s="6">
        <f t="shared" si="90"/>
        <v>708</v>
      </c>
      <c r="T184" s="6">
        <f t="shared" si="91"/>
        <v>3.2661550999999998</v>
      </c>
      <c r="U184" s="4">
        <f t="shared" si="92"/>
        <v>2.9395395899999999</v>
      </c>
      <c r="V184" s="16">
        <f>+S184*$M$3/'COST DATA'!$D$26</f>
        <v>5.9911797728161593</v>
      </c>
      <c r="W184" s="16">
        <f t="shared" si="94"/>
        <v>1.995653427651E-2</v>
      </c>
      <c r="X184" s="27">
        <f t="shared" si="95"/>
        <v>111.51000000000002</v>
      </c>
      <c r="Y184" s="4">
        <f t="shared" si="96"/>
        <v>41.687258687258691</v>
      </c>
      <c r="Z184" s="4">
        <f>+(S184/$S$3)*('Finished goods'!$Q$3*$S$1)</f>
        <v>1.8802096585428572</v>
      </c>
      <c r="AA184" s="4">
        <f>+'Finished goods'!$O$3*'Project Orto'!T184</f>
        <v>0.37861692152790888</v>
      </c>
      <c r="AB184" s="4"/>
      <c r="AC184" s="7">
        <f t="shared" si="97"/>
        <v>161.46722157442215</v>
      </c>
    </row>
    <row r="185" spans="1:29" x14ac:dyDescent="0.3">
      <c r="A185" s="244"/>
      <c r="B185" s="21" t="s">
        <v>123</v>
      </c>
      <c r="C185" s="4" t="str">
        <f t="shared" si="93"/>
        <v>Bicchiere colonna twist alto</v>
      </c>
      <c r="D185" s="5">
        <f>VLOOKUP($C185,'Finished goods'!$A$5:$Q$27,2,FALSE)</f>
        <v>1</v>
      </c>
      <c r="E185" s="5">
        <f>VLOOKUP($C185,'Finished goods'!$A$5:$Q$27,3,FALSE)</f>
        <v>1</v>
      </c>
      <c r="F185" s="5">
        <f>VLOOKUP($C185,'Finished goods'!$A$5:$Q$27,4,FALSE)</f>
        <v>0.57999999999999996</v>
      </c>
      <c r="G185" s="5">
        <f>VLOOKUP($C185,'Finished goods'!$A$5:$Q$27,5,FALSE)</f>
        <v>58</v>
      </c>
      <c r="H185" s="8">
        <f>VLOOKUP($C185,'Finished goods'!$A$5:$Q$27,6,FALSE)</f>
        <v>9.4065272999999995E-5</v>
      </c>
      <c r="I185" s="9">
        <f>VLOOKUP($C185,'Finished goods'!$A$5:$Q$27,7,FALSE)</f>
        <v>0.26129242499999999</v>
      </c>
      <c r="J185" s="9">
        <f>VLOOKUP($C185,'Finished goods'!$A$5:$Q$27,8,FALSE)</f>
        <v>0.23516318249999998</v>
      </c>
      <c r="R185" s="23">
        <v>12</v>
      </c>
      <c r="S185" s="6">
        <f t="shared" si="90"/>
        <v>696</v>
      </c>
      <c r="T185" s="6">
        <f t="shared" si="91"/>
        <v>3.1355091000000002</v>
      </c>
      <c r="U185" s="4">
        <f t="shared" si="92"/>
        <v>2.8219581899999997</v>
      </c>
      <c r="V185" s="16">
        <f>+S185*$M$3/'COST DATA'!$D$26</f>
        <v>5.8896343529379198</v>
      </c>
      <c r="W185" s="16">
        <f t="shared" si="94"/>
        <v>1.9158274151909998E-2</v>
      </c>
      <c r="X185" s="27">
        <f t="shared" si="95"/>
        <v>109.62000000000002</v>
      </c>
      <c r="Y185" s="4">
        <f t="shared" si="96"/>
        <v>40.980694980694977</v>
      </c>
      <c r="Z185" s="4">
        <f>+(S185/$S$3)*('Finished goods'!$Q$3*$S$1)</f>
        <v>1.8483416982285714</v>
      </c>
      <c r="AA185" s="4">
        <f>+'Finished goods'!$O$3*'Project Orto'!T185</f>
        <v>0.36347226831473628</v>
      </c>
      <c r="AB185" s="4"/>
      <c r="AC185" s="7">
        <f t="shared" si="97"/>
        <v>158.72130157432812</v>
      </c>
    </row>
    <row r="188" spans="1:29" ht="18" x14ac:dyDescent="0.35">
      <c r="D188" s="237" t="s">
        <v>40</v>
      </c>
      <c r="E188" s="237"/>
      <c r="F188" s="237"/>
      <c r="G188" s="237"/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4" t="s">
        <v>32</v>
      </c>
      <c r="S188" s="47">
        <f>+S190/60/7</f>
        <v>10.357142857142858</v>
      </c>
      <c r="T188" t="s">
        <v>83</v>
      </c>
    </row>
    <row r="189" spans="1:29" x14ac:dyDescent="0.3">
      <c r="D189" s="236" t="s">
        <v>33</v>
      </c>
      <c r="E189" s="236"/>
      <c r="F189" s="236"/>
      <c r="G189" s="236"/>
      <c r="H189" s="236"/>
      <c r="I189" s="236"/>
      <c r="J189" s="236"/>
      <c r="M189" s="236" t="s">
        <v>36</v>
      </c>
      <c r="N189" s="236"/>
      <c r="O189" s="236"/>
      <c r="P189" s="236"/>
      <c r="Q189" s="236"/>
      <c r="V189" s="241" t="s">
        <v>41</v>
      </c>
      <c r="W189" s="241"/>
      <c r="X189" s="241"/>
      <c r="Y189" s="241"/>
      <c r="Z189" s="241"/>
      <c r="AA189" s="241"/>
      <c r="AB189" s="241"/>
      <c r="AC189" s="241"/>
    </row>
    <row r="190" spans="1:29" ht="18" x14ac:dyDescent="0.35">
      <c r="F190" s="225" t="s">
        <v>44</v>
      </c>
      <c r="G190" s="225"/>
      <c r="I190" s="20">
        <f>SUBTOTAL(9,I192:I202)</f>
        <v>6.7672086749999991</v>
      </c>
      <c r="J190" s="20">
        <f>SUBTOTAL(9,J192:J202)</f>
        <v>6.0904878074999997</v>
      </c>
      <c r="K190" s="1">
        <f>+'Finished goods'!$I$3</f>
        <v>2500</v>
      </c>
      <c r="L190" s="1">
        <f>+'Finished goods'!$J$3</f>
        <v>0.9</v>
      </c>
      <c r="M190" s="15">
        <f>+'Finished goods'!$K$3</f>
        <v>0.50772709939119998</v>
      </c>
      <c r="N190" s="15">
        <f>+'Finished goods'!$L$3</f>
        <v>6.7889999999999999E-3</v>
      </c>
      <c r="O190" s="13">
        <f>+'Finished goods'!$M$3</f>
        <v>0.15750000000000003</v>
      </c>
      <c r="P190" s="46">
        <f>+'Finished goods'!$N$3</f>
        <v>5.8880308880308881E-2</v>
      </c>
      <c r="Q190" s="1"/>
      <c r="S190" s="17">
        <f t="shared" ref="S190:AC190" si="98">SUBTOTAL(9,S192:S202)</f>
        <v>4350</v>
      </c>
      <c r="T190" s="17">
        <f t="shared" si="98"/>
        <v>33.717334016666669</v>
      </c>
      <c r="U190" s="17">
        <f t="shared" si="98"/>
        <v>30.345600615000002</v>
      </c>
      <c r="V190" s="18">
        <f t="shared" si="98"/>
        <v>36.810214705862002</v>
      </c>
      <c r="W190" s="18">
        <f t="shared" si="98"/>
        <v>0.20601628257523499</v>
      </c>
      <c r="X190" s="18">
        <f t="shared" si="98"/>
        <v>685.125</v>
      </c>
      <c r="Y190" s="18">
        <f t="shared" si="98"/>
        <v>256.12934362934362</v>
      </c>
      <c r="Z190" s="18">
        <f t="shared" si="98"/>
        <v>11.552135613928572</v>
      </c>
      <c r="AA190" s="18">
        <f t="shared" si="98"/>
        <v>3.9085569474390782</v>
      </c>
      <c r="AB190" s="18">
        <f t="shared" si="98"/>
        <v>0</v>
      </c>
      <c r="AC190" s="19">
        <f t="shared" si="98"/>
        <v>993.73126717914852</v>
      </c>
    </row>
    <row r="191" spans="1:29" x14ac:dyDescent="0.3">
      <c r="A191" s="1" t="s">
        <v>145</v>
      </c>
      <c r="B191" s="1" t="s">
        <v>30</v>
      </c>
      <c r="C191" s="1" t="s">
        <v>0</v>
      </c>
      <c r="D191" s="1" t="s">
        <v>4</v>
      </c>
      <c r="E191" s="1" t="s">
        <v>5</v>
      </c>
      <c r="F191" s="1" t="s">
        <v>45</v>
      </c>
      <c r="G191" s="1" t="s">
        <v>57</v>
      </c>
      <c r="H191" s="1" t="s">
        <v>6</v>
      </c>
      <c r="I191" s="1" t="s">
        <v>2</v>
      </c>
      <c r="J191" s="1" t="s">
        <v>7</v>
      </c>
      <c r="K191" s="1" t="s">
        <v>31</v>
      </c>
      <c r="L191" s="1" t="s">
        <v>8</v>
      </c>
      <c r="M191" s="1" t="s">
        <v>34</v>
      </c>
      <c r="N191" s="1" t="s">
        <v>35</v>
      </c>
      <c r="O191" s="1" t="s">
        <v>37</v>
      </c>
      <c r="P191" s="1" t="s">
        <v>79</v>
      </c>
      <c r="Q191" s="1" t="s">
        <v>38</v>
      </c>
      <c r="R191" s="1" t="s">
        <v>39</v>
      </c>
      <c r="S191" s="2" t="s">
        <v>43</v>
      </c>
      <c r="T191" s="2" t="s">
        <v>2</v>
      </c>
      <c r="U191" s="2" t="s">
        <v>7</v>
      </c>
      <c r="V191" s="2">
        <f>+'Finished goods'!K191</f>
        <v>0</v>
      </c>
      <c r="W191" s="2">
        <f>+'Finished goods'!L191</f>
        <v>0</v>
      </c>
      <c r="X191" s="2">
        <f>+'Finished goods'!M191</f>
        <v>0</v>
      </c>
      <c r="Y191" s="2">
        <f>+'Finished goods'!N191</f>
        <v>0</v>
      </c>
      <c r="Z191" s="2">
        <f>+'Finished goods'!Q191</f>
        <v>0</v>
      </c>
      <c r="AA191" s="3" t="s">
        <v>111</v>
      </c>
      <c r="AB191" s="3" t="s">
        <v>115</v>
      </c>
      <c r="AC191" s="3" t="s">
        <v>42</v>
      </c>
    </row>
    <row r="192" spans="1:29" ht="14.4" customHeight="1" x14ac:dyDescent="0.3">
      <c r="A192" s="242" t="s">
        <v>422</v>
      </c>
      <c r="B192" s="21" t="s">
        <v>123</v>
      </c>
      <c r="C192" s="4" t="str">
        <f>+C175</f>
        <v>Bicchiere curve dritto</v>
      </c>
      <c r="D192" s="5">
        <f>VLOOKUP($C192,'Finished goods'!$A$5:$Q$27,2,FALSE)</f>
        <v>2</v>
      </c>
      <c r="E192" s="5">
        <f>VLOOKUP($C192,'Finished goods'!$A$5:$Q$27,3,FALSE)</f>
        <v>2</v>
      </c>
      <c r="F192" s="5">
        <f>VLOOKUP($C192,'Finished goods'!$A$5:$Q$27,4,FALSE)</f>
        <v>0.26</v>
      </c>
      <c r="G192" s="5">
        <f>VLOOKUP($C192,'Finished goods'!$A$5:$Q$27,5,FALSE)</f>
        <v>26</v>
      </c>
      <c r="H192" s="8">
        <f>VLOOKUP($C192,'Finished goods'!$A$5:$Q$27,6,FALSE)</f>
        <v>1.6928511099999999E-4</v>
      </c>
      <c r="I192" s="9">
        <f>VLOOKUP($C192,'Finished goods'!$A$5:$Q$27,7,FALSE)</f>
        <v>0.47023641944444439</v>
      </c>
      <c r="J192" s="9">
        <f>VLOOKUP($C192,'Finished goods'!$A$5:$Q$27,8,FALSE)</f>
        <v>0.42321277749999997</v>
      </c>
      <c r="R192" s="23">
        <v>12</v>
      </c>
      <c r="S192" s="6">
        <f t="shared" ref="S192:S202" si="99">+G192*$R192</f>
        <v>312</v>
      </c>
      <c r="T192" s="6">
        <f t="shared" ref="T192:T202" si="100">+I192*$R192</f>
        <v>5.6428370333333326</v>
      </c>
      <c r="U192" s="4">
        <f t="shared" ref="U192:U202" si="101">+J192*$R192</f>
        <v>5.0785533300000001</v>
      </c>
      <c r="V192" s="16">
        <f>+S192*$M$3/'COST DATA'!$D$26</f>
        <v>2.6401809168342401</v>
      </c>
      <c r="W192" s="16">
        <f>+U192*$N$3</f>
        <v>3.4478298557370002E-2</v>
      </c>
      <c r="X192" s="27">
        <f>+S192*$O$3</f>
        <v>49.140000000000008</v>
      </c>
      <c r="Y192" s="4">
        <f>+S192*$P$3</f>
        <v>18.37065637065637</v>
      </c>
      <c r="Z192" s="4">
        <f>+(S192/$S$3)*('Finished goods'!$Q$3*$S$1)</f>
        <v>0.82856696817142861</v>
      </c>
      <c r="AA192" s="4">
        <f>+'Finished goods'!$O$3*'Project Orto'!T192</f>
        <v>0.65412496370559525</v>
      </c>
      <c r="AB192" s="4"/>
      <c r="AC192" s="7">
        <f>+V192+W192+X192+Y192+Z192+AA192+AB192</f>
        <v>71.668007517925005</v>
      </c>
    </row>
    <row r="193" spans="1:29" x14ac:dyDescent="0.3">
      <c r="A193" s="243"/>
      <c r="B193" s="21" t="s">
        <v>123</v>
      </c>
      <c r="C193" s="4" t="str">
        <f t="shared" ref="C193:C202" si="102">+C176</f>
        <v>Bicchiere curve twist</v>
      </c>
      <c r="D193" s="5">
        <f>VLOOKUP($C193,'Finished goods'!$A$5:$Q$27,2,FALSE)</f>
        <v>2</v>
      </c>
      <c r="E193" s="5">
        <f>VLOOKUP($C193,'Finished goods'!$A$5:$Q$27,3,FALSE)</f>
        <v>2</v>
      </c>
      <c r="F193" s="5">
        <f>VLOOKUP($C193,'Finished goods'!$A$5:$Q$27,4,FALSE)</f>
        <v>0.25</v>
      </c>
      <c r="G193" s="5">
        <f>VLOOKUP($C193,'Finished goods'!$A$5:$Q$27,5,FALSE)</f>
        <v>25</v>
      </c>
      <c r="H193" s="8">
        <f>VLOOKUP($C193,'Finished goods'!$A$5:$Q$27,6,FALSE)</f>
        <v>1.69285896E-4</v>
      </c>
      <c r="I193" s="9">
        <f>VLOOKUP($C193,'Finished goods'!$A$5:$Q$27,7,FALSE)</f>
        <v>0.47023859999999995</v>
      </c>
      <c r="J193" s="9">
        <f>VLOOKUP($C193,'Finished goods'!$A$5:$Q$27,8,FALSE)</f>
        <v>0.42321473999999998</v>
      </c>
      <c r="R193" s="23">
        <v>12</v>
      </c>
      <c r="S193" s="6">
        <f t="shared" si="99"/>
        <v>300</v>
      </c>
      <c r="T193" s="6">
        <f t="shared" si="100"/>
        <v>5.642863199999999</v>
      </c>
      <c r="U193" s="4">
        <f t="shared" si="101"/>
        <v>5.07857688</v>
      </c>
      <c r="V193" s="16">
        <f>+S193*$M$3/'COST DATA'!$D$26</f>
        <v>2.5386354969559997</v>
      </c>
      <c r="W193" s="16">
        <f t="shared" ref="W193:W202" si="103">+U193*$N$3</f>
        <v>3.4478458438320002E-2</v>
      </c>
      <c r="X193" s="27">
        <f t="shared" ref="X193:X202" si="104">+S193*$O$3</f>
        <v>47.250000000000007</v>
      </c>
      <c r="Y193" s="4">
        <f t="shared" ref="Y193:Y202" si="105">+S193*$P$3</f>
        <v>17.664092664092664</v>
      </c>
      <c r="Z193" s="4">
        <f>+(S193/$S$3)*('Finished goods'!$Q$3*$S$1)</f>
        <v>0.79669900785714287</v>
      </c>
      <c r="AA193" s="4">
        <f>+'Finished goods'!$O$3*'Project Orto'!T193</f>
        <v>0.65412799697942225</v>
      </c>
      <c r="AB193" s="4"/>
      <c r="AC193" s="7">
        <f t="shared" ref="AC193:AC202" si="106">+V193+W193+X193+Y193+Z193+AA193+AB193</f>
        <v>68.938033624323552</v>
      </c>
    </row>
    <row r="194" spans="1:29" x14ac:dyDescent="0.3">
      <c r="A194" s="243"/>
      <c r="B194" s="21" t="s">
        <v>123</v>
      </c>
      <c r="C194" s="4" t="str">
        <f t="shared" si="102"/>
        <v>Caraffa curva</v>
      </c>
      <c r="D194" s="5">
        <f>VLOOKUP($C194,'Finished goods'!$A$5:$Q$27,2,FALSE)</f>
        <v>2</v>
      </c>
      <c r="E194" s="5">
        <f>VLOOKUP($C194,'Finished goods'!$A$5:$Q$27,3,FALSE)</f>
        <v>2</v>
      </c>
      <c r="F194" s="5">
        <f>VLOOKUP($C194,'Finished goods'!$A$5:$Q$27,4,FALSE)</f>
        <v>0.56999999999999995</v>
      </c>
      <c r="G194" s="5">
        <f>VLOOKUP($C194,'Finished goods'!$A$5:$Q$27,5,FALSE)</f>
        <v>57</v>
      </c>
      <c r="H194" s="8">
        <f>VLOOKUP($C194,'Finished goods'!$A$5:$Q$27,6,FALSE)</f>
        <v>3.69342133E-4</v>
      </c>
      <c r="I194" s="9">
        <f>VLOOKUP($C194,'Finished goods'!$A$5:$Q$27,7,FALSE)</f>
        <v>1.0259503694444445</v>
      </c>
      <c r="J194" s="9">
        <f>VLOOKUP($C194,'Finished goods'!$A$5:$Q$27,8,FALSE)</f>
        <v>0.92335533250000001</v>
      </c>
      <c r="R194" s="23">
        <v>2</v>
      </c>
      <c r="S194" s="6">
        <f t="shared" si="99"/>
        <v>114</v>
      </c>
      <c r="T194" s="6">
        <f t="shared" si="100"/>
        <v>2.051900738888889</v>
      </c>
      <c r="U194" s="4">
        <f t="shared" si="101"/>
        <v>1.846710665</v>
      </c>
      <c r="V194" s="16">
        <f>+S194*$M$3/'COST DATA'!$D$26</f>
        <v>0.96468148884327987</v>
      </c>
      <c r="W194" s="16">
        <f t="shared" si="103"/>
        <v>1.2537318704685E-2</v>
      </c>
      <c r="X194" s="27">
        <f t="shared" si="104"/>
        <v>17.955000000000002</v>
      </c>
      <c r="Y194" s="4">
        <f t="shared" si="105"/>
        <v>6.7123552123552122</v>
      </c>
      <c r="Z194" s="4">
        <f>+(S194/$S$3)*('Finished goods'!$Q$3*$S$1)</f>
        <v>0.30274562298571428</v>
      </c>
      <c r="AA194" s="4">
        <f>+'Finished goods'!$O$3*'Project Orto'!T194</f>
        <v>0.23785898625541477</v>
      </c>
      <c r="AB194" s="4"/>
      <c r="AC194" s="7">
        <f t="shared" si="106"/>
        <v>26.185178629144307</v>
      </c>
    </row>
    <row r="195" spans="1:29" x14ac:dyDescent="0.3">
      <c r="A195" s="243"/>
      <c r="B195" s="21" t="s">
        <v>123</v>
      </c>
      <c r="C195" s="4" t="str">
        <f t="shared" si="102"/>
        <v>Caraffa colonna dritta</v>
      </c>
      <c r="D195" s="5">
        <f>VLOOKUP($C195,'Finished goods'!$A$5:$Q$27,2,FALSE)</f>
        <v>2</v>
      </c>
      <c r="E195" s="5">
        <f>VLOOKUP($C195,'Finished goods'!$A$5:$Q$27,3,FALSE)</f>
        <v>1</v>
      </c>
      <c r="F195" s="5">
        <f>VLOOKUP($C195,'Finished goods'!$A$5:$Q$27,4,FALSE)</f>
        <v>1.4</v>
      </c>
      <c r="G195" s="5">
        <f>VLOOKUP($C195,'Finished goods'!$A$5:$Q$27,5,FALSE)</f>
        <v>100</v>
      </c>
      <c r="H195" s="8">
        <f>VLOOKUP($C195,'Finished goods'!$A$5:$Q$27,6,FALSE)</f>
        <v>3.2796365999999998E-4</v>
      </c>
      <c r="I195" s="9">
        <f>VLOOKUP($C195,'Finished goods'!$A$5:$Q$27,7,FALSE)</f>
        <v>0.91101016666666657</v>
      </c>
      <c r="J195" s="9">
        <f>VLOOKUP($C195,'Finished goods'!$A$5:$Q$27,8,FALSE)</f>
        <v>0.81990914999999998</v>
      </c>
      <c r="R195" s="23">
        <v>2</v>
      </c>
      <c r="S195" s="6">
        <f t="shared" si="99"/>
        <v>200</v>
      </c>
      <c r="T195" s="6">
        <f t="shared" si="100"/>
        <v>1.8220203333333331</v>
      </c>
      <c r="U195" s="4">
        <f t="shared" si="101"/>
        <v>1.6398183</v>
      </c>
      <c r="V195" s="16">
        <f>+S195*$M$3/'COST DATA'!$D$26</f>
        <v>1.6924236646373332</v>
      </c>
      <c r="W195" s="16">
        <f t="shared" si="103"/>
        <v>1.1132726438699999E-2</v>
      </c>
      <c r="X195" s="27">
        <f t="shared" si="104"/>
        <v>31.500000000000007</v>
      </c>
      <c r="Y195" s="4">
        <f t="shared" si="105"/>
        <v>11.776061776061777</v>
      </c>
      <c r="Z195" s="4">
        <f>+(S195/$S$3)*('Finished goods'!$Q$3*$S$1)</f>
        <v>0.53113267190476188</v>
      </c>
      <c r="AA195" s="4">
        <f>+'Finished goods'!$O$3*'Project Orto'!T195</f>
        <v>0.21121095246454188</v>
      </c>
      <c r="AB195" s="4"/>
      <c r="AC195" s="7">
        <f t="shared" si="106"/>
        <v>45.72196179150712</v>
      </c>
    </row>
    <row r="196" spans="1:29" x14ac:dyDescent="0.3">
      <c r="A196" s="243"/>
      <c r="B196" s="21" t="s">
        <v>123</v>
      </c>
      <c r="C196" s="4" t="str">
        <f t="shared" si="102"/>
        <v>Caraffa colonna twist1</v>
      </c>
      <c r="D196" s="5">
        <f>VLOOKUP($C196,'Finished goods'!$A$5:$Q$27,2,FALSE)</f>
        <v>2</v>
      </c>
      <c r="E196" s="5">
        <f>VLOOKUP($C196,'Finished goods'!$A$5:$Q$27,3,FALSE)</f>
        <v>1</v>
      </c>
      <c r="F196" s="5">
        <f>VLOOKUP($C196,'Finished goods'!$A$5:$Q$27,4,FALSE)</f>
        <v>1.41</v>
      </c>
      <c r="G196" s="5">
        <f>VLOOKUP($C196,'Finished goods'!$A$5:$Q$27,5,FALSE)</f>
        <v>101</v>
      </c>
      <c r="H196" s="8">
        <f>VLOOKUP($C196,'Finished goods'!$A$5:$Q$27,6,FALSE)</f>
        <v>3.323221E-4</v>
      </c>
      <c r="I196" s="9">
        <f>VLOOKUP($C196,'Finished goods'!$A$5:$Q$27,7,FALSE)</f>
        <v>0.92311694444444448</v>
      </c>
      <c r="J196" s="9">
        <f>VLOOKUP($C196,'Finished goods'!$A$5:$Q$27,8,FALSE)</f>
        <v>0.83080525000000005</v>
      </c>
      <c r="R196" s="23">
        <v>2</v>
      </c>
      <c r="S196" s="6">
        <f t="shared" si="99"/>
        <v>202</v>
      </c>
      <c r="T196" s="6">
        <f t="shared" si="100"/>
        <v>1.846233888888889</v>
      </c>
      <c r="U196" s="4">
        <f t="shared" si="101"/>
        <v>1.6616105000000001</v>
      </c>
      <c r="V196" s="16">
        <f>+S196*$M$3/'COST DATA'!$D$26</f>
        <v>1.7093479012837065</v>
      </c>
      <c r="W196" s="16">
        <f t="shared" si="103"/>
        <v>1.12806736845E-2</v>
      </c>
      <c r="X196" s="27">
        <f t="shared" si="104"/>
        <v>31.815000000000005</v>
      </c>
      <c r="Y196" s="4">
        <f t="shared" si="105"/>
        <v>11.893822393822393</v>
      </c>
      <c r="Z196" s="4">
        <f>+(S196/$S$3)*('Finished goods'!$Q$3*$S$1)</f>
        <v>0.53644399862380954</v>
      </c>
      <c r="AA196" s="4">
        <f>+'Finished goods'!$O$3*'Project Orto'!T196</f>
        <v>0.21401781912671894</v>
      </c>
      <c r="AB196" s="4"/>
      <c r="AC196" s="7">
        <f t="shared" si="106"/>
        <v>46.179912786541131</v>
      </c>
    </row>
    <row r="197" spans="1:29" x14ac:dyDescent="0.3">
      <c r="A197" s="243"/>
      <c r="B197" s="21" t="s">
        <v>123</v>
      </c>
      <c r="C197" s="4" t="str">
        <f t="shared" si="102"/>
        <v>Caraffa colonna twist2</v>
      </c>
      <c r="D197" s="5">
        <f>VLOOKUP($C197,'Finished goods'!$A$5:$Q$27,2,FALSE)</f>
        <v>2</v>
      </c>
      <c r="E197" s="5">
        <f>VLOOKUP($C197,'Finished goods'!$A$5:$Q$27,3,FALSE)</f>
        <v>1</v>
      </c>
      <c r="F197" s="5">
        <f>VLOOKUP($C197,'Finished goods'!$A$5:$Q$27,4,FALSE)</f>
        <v>1.45</v>
      </c>
      <c r="G197" s="5">
        <f>VLOOKUP($C197,'Finished goods'!$A$5:$Q$27,5,FALSE)</f>
        <v>105</v>
      </c>
      <c r="H197" s="8">
        <f>VLOOKUP($C197,'Finished goods'!$A$5:$Q$27,6,FALSE)</f>
        <v>3.4271101000000001E-4</v>
      </c>
      <c r="I197" s="9">
        <f>VLOOKUP($C197,'Finished goods'!$A$5:$Q$27,7,FALSE)</f>
        <v>0.95197502777777776</v>
      </c>
      <c r="J197" s="9">
        <f>VLOOKUP($C197,'Finished goods'!$A$5:$Q$27,8,FALSE)</f>
        <v>0.85677752500000004</v>
      </c>
      <c r="R197" s="23">
        <v>2</v>
      </c>
      <c r="S197" s="6">
        <f t="shared" si="99"/>
        <v>210</v>
      </c>
      <c r="T197" s="6">
        <f t="shared" si="100"/>
        <v>1.9039500555555555</v>
      </c>
      <c r="U197" s="4">
        <f t="shared" si="101"/>
        <v>1.7135550500000001</v>
      </c>
      <c r="V197" s="16">
        <f>+S197*$M$3/'COST DATA'!$D$26</f>
        <v>1.7770448478691998</v>
      </c>
      <c r="W197" s="16">
        <f t="shared" si="103"/>
        <v>1.1633325234450001E-2</v>
      </c>
      <c r="X197" s="27">
        <f t="shared" si="104"/>
        <v>33.075000000000003</v>
      </c>
      <c r="Y197" s="4">
        <f t="shared" si="105"/>
        <v>12.364864864864865</v>
      </c>
      <c r="Z197" s="4">
        <f>+(S197/$S$3)*('Finished goods'!$Q$3*$S$1)</f>
        <v>0.55768930550000007</v>
      </c>
      <c r="AA197" s="4">
        <f>+'Finished goods'!$O$3*'Project Orto'!T197</f>
        <v>0.22070835177953907</v>
      </c>
      <c r="AB197" s="4"/>
      <c r="AC197" s="7">
        <f t="shared" si="106"/>
        <v>48.006940695248055</v>
      </c>
    </row>
    <row r="198" spans="1:29" x14ac:dyDescent="0.3">
      <c r="A198" s="243"/>
      <c r="B198" s="21" t="s">
        <v>123</v>
      </c>
      <c r="C198" s="4" t="str">
        <f t="shared" si="102"/>
        <v>Caraffa colonna twist3</v>
      </c>
      <c r="D198" s="5">
        <f>VLOOKUP($C198,'Finished goods'!$A$5:$Q$27,2,FALSE)</f>
        <v>2</v>
      </c>
      <c r="E198" s="5">
        <f>VLOOKUP($C198,'Finished goods'!$A$5:$Q$27,3,FALSE)</f>
        <v>1</v>
      </c>
      <c r="F198" s="5">
        <f>VLOOKUP($C198,'Finished goods'!$A$5:$Q$27,4,FALSE)</f>
        <v>1.42</v>
      </c>
      <c r="G198" s="5">
        <f>VLOOKUP($C198,'Finished goods'!$A$5:$Q$27,5,FALSE)</f>
        <v>102</v>
      </c>
      <c r="H198" s="8">
        <f>VLOOKUP($C198,'Finished goods'!$A$5:$Q$27,6,FALSE)</f>
        <v>3.3727121999999998E-4</v>
      </c>
      <c r="I198" s="9">
        <f>VLOOKUP($C198,'Finished goods'!$A$5:$Q$27,7,FALSE)</f>
        <v>0.93686449999999988</v>
      </c>
      <c r="J198" s="9">
        <f>VLOOKUP($C198,'Finished goods'!$A$5:$Q$27,8,FALSE)</f>
        <v>0.8431780499999999</v>
      </c>
      <c r="R198" s="23">
        <v>2</v>
      </c>
      <c r="S198" s="6">
        <f t="shared" si="99"/>
        <v>204</v>
      </c>
      <c r="T198" s="6">
        <f t="shared" si="100"/>
        <v>1.8737289999999998</v>
      </c>
      <c r="U198" s="4">
        <f t="shared" si="101"/>
        <v>1.6863560999999998</v>
      </c>
      <c r="V198" s="16">
        <f>+S198*$M$3/'COST DATA'!$D$26</f>
        <v>1.7262721379300801</v>
      </c>
      <c r="W198" s="16">
        <f t="shared" si="103"/>
        <v>1.1448671562899998E-2</v>
      </c>
      <c r="X198" s="27">
        <f t="shared" si="104"/>
        <v>32.130000000000003</v>
      </c>
      <c r="Y198" s="4">
        <f t="shared" si="105"/>
        <v>12.011583011583012</v>
      </c>
      <c r="Z198" s="4">
        <f>+(S198/$S$3)*('Finished goods'!$Q$3*$S$1)</f>
        <v>0.5417553253428572</v>
      </c>
      <c r="AA198" s="4">
        <f>+'Finished goods'!$O$3*'Project Orto'!T198</f>
        <v>0.21720508795114082</v>
      </c>
      <c r="AB198" s="4"/>
      <c r="AC198" s="7">
        <f t="shared" si="106"/>
        <v>46.638264234369991</v>
      </c>
    </row>
    <row r="199" spans="1:29" x14ac:dyDescent="0.3">
      <c r="A199" s="243"/>
      <c r="B199" s="21" t="s">
        <v>123</v>
      </c>
      <c r="C199" s="4" t="str">
        <f t="shared" si="102"/>
        <v>Bicchiere colonna twist1</v>
      </c>
      <c r="D199" s="5">
        <f>VLOOKUP($C199,'Finished goods'!$A$5:$Q$27,2,FALSE)</f>
        <v>1</v>
      </c>
      <c r="E199" s="5">
        <f>VLOOKUP($C199,'Finished goods'!$A$5:$Q$27,3,FALSE)</f>
        <v>1</v>
      </c>
      <c r="F199" s="5">
        <f>VLOOKUP($C199,'Finished goods'!$A$5:$Q$27,4,FALSE)</f>
        <v>0.57999999999999996</v>
      </c>
      <c r="G199" s="5">
        <f>VLOOKUP($C199,'Finished goods'!$A$5:$Q$27,5,FALSE)</f>
        <v>58</v>
      </c>
      <c r="H199" s="8">
        <f>VLOOKUP($C199,'Finished goods'!$A$5:$Q$27,6,FALSE)</f>
        <v>9.7981700000000004E-5</v>
      </c>
      <c r="I199" s="9">
        <f>VLOOKUP($C199,'Finished goods'!$A$5:$Q$27,7,FALSE)</f>
        <v>0.27217138888888892</v>
      </c>
      <c r="J199" s="9">
        <f>VLOOKUP($C199,'Finished goods'!$A$5:$Q$27,8,FALSE)</f>
        <v>0.24495425000000001</v>
      </c>
      <c r="R199" s="23">
        <v>12</v>
      </c>
      <c r="S199" s="6">
        <f t="shared" si="99"/>
        <v>696</v>
      </c>
      <c r="T199" s="6">
        <f t="shared" si="100"/>
        <v>3.2660566666666671</v>
      </c>
      <c r="U199" s="4">
        <f t="shared" si="101"/>
        <v>2.939451</v>
      </c>
      <c r="V199" s="16">
        <f>+S199*$M$3/'COST DATA'!$D$26</f>
        <v>5.8896343529379198</v>
      </c>
      <c r="W199" s="16">
        <f t="shared" si="103"/>
        <v>1.9955932839000001E-2</v>
      </c>
      <c r="X199" s="27">
        <f t="shared" si="104"/>
        <v>109.62000000000002</v>
      </c>
      <c r="Y199" s="4">
        <f t="shared" si="105"/>
        <v>40.980694980694977</v>
      </c>
      <c r="Z199" s="4">
        <f>+(S199/$S$3)*('Finished goods'!$Q$3*$S$1)</f>
        <v>1.8483416982285714</v>
      </c>
      <c r="AA199" s="4">
        <f>+'Finished goods'!$O$3*'Project Orto'!T199</f>
        <v>0.37860551100865886</v>
      </c>
      <c r="AB199" s="4"/>
      <c r="AC199" s="7">
        <f t="shared" si="106"/>
        <v>158.73723247570913</v>
      </c>
    </row>
    <row r="200" spans="1:29" x14ac:dyDescent="0.3">
      <c r="A200" s="243"/>
      <c r="B200" s="21" t="s">
        <v>123</v>
      </c>
      <c r="C200" s="4" t="str">
        <f t="shared" si="102"/>
        <v>Bicchiere colonna twist2</v>
      </c>
      <c r="D200" s="5">
        <f>VLOOKUP($C200,'Finished goods'!$A$5:$Q$27,2,FALSE)</f>
        <v>1</v>
      </c>
      <c r="E200" s="5">
        <f>VLOOKUP($C200,'Finished goods'!$A$5:$Q$27,3,FALSE)</f>
        <v>1</v>
      </c>
      <c r="F200" s="5">
        <f>VLOOKUP($C200,'Finished goods'!$A$5:$Q$27,4,FALSE)</f>
        <v>0.59</v>
      </c>
      <c r="G200" s="5">
        <f>VLOOKUP($C200,'Finished goods'!$A$5:$Q$27,5,FALSE)</f>
        <v>59</v>
      </c>
      <c r="H200" s="8">
        <f>VLOOKUP($C200,'Finished goods'!$A$5:$Q$27,6,FALSE)</f>
        <v>9.7982366999999995E-5</v>
      </c>
      <c r="I200" s="9">
        <f>VLOOKUP($C200,'Finished goods'!$A$5:$Q$27,7,FALSE)</f>
        <v>0.27217324166666662</v>
      </c>
      <c r="J200" s="9">
        <f>VLOOKUP($C200,'Finished goods'!$A$5:$Q$27,8,FALSE)</f>
        <v>0.24495591749999998</v>
      </c>
      <c r="R200" s="23">
        <v>12</v>
      </c>
      <c r="S200" s="6">
        <f t="shared" si="99"/>
        <v>708</v>
      </c>
      <c r="T200" s="6">
        <f t="shared" si="100"/>
        <v>3.2660788999999992</v>
      </c>
      <c r="U200" s="4">
        <f t="shared" si="101"/>
        <v>2.9394710099999997</v>
      </c>
      <c r="V200" s="16">
        <f>+S200*$M$3/'COST DATA'!$D$26</f>
        <v>5.9911797728161593</v>
      </c>
      <c r="W200" s="16">
        <f t="shared" si="103"/>
        <v>1.9956068686889997E-2</v>
      </c>
      <c r="X200" s="27">
        <f t="shared" si="104"/>
        <v>111.51000000000002</v>
      </c>
      <c r="Y200" s="4">
        <f t="shared" si="105"/>
        <v>41.687258687258691</v>
      </c>
      <c r="Z200" s="4">
        <f>+(S200/$S$3)*('Finished goods'!$Q$3*$S$1)</f>
        <v>1.8802096585428572</v>
      </c>
      <c r="AA200" s="4">
        <f>+'Finished goods'!$O$3*'Project Orto'!T200</f>
        <v>0.37860808832540094</v>
      </c>
      <c r="AB200" s="4"/>
      <c r="AC200" s="7">
        <f t="shared" si="106"/>
        <v>161.46721227563</v>
      </c>
    </row>
    <row r="201" spans="1:29" x14ac:dyDescent="0.3">
      <c r="A201" s="243"/>
      <c r="B201" s="21" t="s">
        <v>123</v>
      </c>
      <c r="C201" s="4" t="str">
        <f t="shared" si="102"/>
        <v>Bicchiere colonna twist3</v>
      </c>
      <c r="D201" s="5">
        <f>VLOOKUP($C201,'Finished goods'!$A$5:$Q$27,2,FALSE)</f>
        <v>1</v>
      </c>
      <c r="E201" s="5">
        <f>VLOOKUP($C201,'Finished goods'!$A$5:$Q$27,3,FALSE)</f>
        <v>1</v>
      </c>
      <c r="F201" s="5">
        <f>VLOOKUP($C201,'Finished goods'!$A$5:$Q$27,4,FALSE)</f>
        <v>0.59</v>
      </c>
      <c r="G201" s="5">
        <f>VLOOKUP($C201,'Finished goods'!$A$5:$Q$27,5,FALSE)</f>
        <v>59</v>
      </c>
      <c r="H201" s="8">
        <f>VLOOKUP($C201,'Finished goods'!$A$5:$Q$27,6,FALSE)</f>
        <v>9.7984652999999995E-5</v>
      </c>
      <c r="I201" s="9">
        <f>VLOOKUP($C201,'Finished goods'!$A$5:$Q$27,7,FALSE)</f>
        <v>0.27217959166666666</v>
      </c>
      <c r="J201" s="9">
        <f>VLOOKUP($C201,'Finished goods'!$A$5:$Q$27,8,FALSE)</f>
        <v>0.2449616325</v>
      </c>
      <c r="R201" s="23">
        <v>12</v>
      </c>
      <c r="S201" s="6">
        <f t="shared" si="99"/>
        <v>708</v>
      </c>
      <c r="T201" s="6">
        <f t="shared" si="100"/>
        <v>3.2661550999999998</v>
      </c>
      <c r="U201" s="4">
        <f t="shared" si="101"/>
        <v>2.9395395899999999</v>
      </c>
      <c r="V201" s="16">
        <f>+S201*$M$3/'COST DATA'!$D$26</f>
        <v>5.9911797728161593</v>
      </c>
      <c r="W201" s="16">
        <f t="shared" si="103"/>
        <v>1.995653427651E-2</v>
      </c>
      <c r="X201" s="27">
        <f t="shared" si="104"/>
        <v>111.51000000000002</v>
      </c>
      <c r="Y201" s="4">
        <f t="shared" si="105"/>
        <v>41.687258687258691</v>
      </c>
      <c r="Z201" s="4">
        <f>+(S201/$S$3)*('Finished goods'!$Q$3*$S$1)</f>
        <v>1.8802096585428572</v>
      </c>
      <c r="AA201" s="4">
        <f>+'Finished goods'!$O$3*'Project Orto'!T201</f>
        <v>0.37861692152790888</v>
      </c>
      <c r="AB201" s="4"/>
      <c r="AC201" s="7">
        <f t="shared" si="106"/>
        <v>161.46722157442215</v>
      </c>
    </row>
    <row r="202" spans="1:29" x14ac:dyDescent="0.3">
      <c r="A202" s="244"/>
      <c r="B202" s="21" t="s">
        <v>123</v>
      </c>
      <c r="C202" s="4" t="str">
        <f t="shared" si="102"/>
        <v>Bicchiere colonna twist alto</v>
      </c>
      <c r="D202" s="5">
        <f>VLOOKUP($C202,'Finished goods'!$A$5:$Q$27,2,FALSE)</f>
        <v>1</v>
      </c>
      <c r="E202" s="5">
        <f>VLOOKUP($C202,'Finished goods'!$A$5:$Q$27,3,FALSE)</f>
        <v>1</v>
      </c>
      <c r="F202" s="5">
        <f>VLOOKUP($C202,'Finished goods'!$A$5:$Q$27,4,FALSE)</f>
        <v>0.57999999999999996</v>
      </c>
      <c r="G202" s="5">
        <f>VLOOKUP($C202,'Finished goods'!$A$5:$Q$27,5,FALSE)</f>
        <v>58</v>
      </c>
      <c r="H202" s="8">
        <f>VLOOKUP($C202,'Finished goods'!$A$5:$Q$27,6,FALSE)</f>
        <v>9.4065272999999995E-5</v>
      </c>
      <c r="I202" s="9">
        <f>VLOOKUP($C202,'Finished goods'!$A$5:$Q$27,7,FALSE)</f>
        <v>0.26129242499999999</v>
      </c>
      <c r="J202" s="9">
        <f>VLOOKUP($C202,'Finished goods'!$A$5:$Q$27,8,FALSE)</f>
        <v>0.23516318249999998</v>
      </c>
      <c r="R202" s="23">
        <v>12</v>
      </c>
      <c r="S202" s="6">
        <f t="shared" si="99"/>
        <v>696</v>
      </c>
      <c r="T202" s="6">
        <f t="shared" si="100"/>
        <v>3.1355091000000002</v>
      </c>
      <c r="U202" s="4">
        <f t="shared" si="101"/>
        <v>2.8219581899999997</v>
      </c>
      <c r="V202" s="16">
        <f>+S202*$M$3/'COST DATA'!$D$26</f>
        <v>5.8896343529379198</v>
      </c>
      <c r="W202" s="16">
        <f t="shared" si="103"/>
        <v>1.9158274151909998E-2</v>
      </c>
      <c r="X202" s="27">
        <f t="shared" si="104"/>
        <v>109.62000000000002</v>
      </c>
      <c r="Y202" s="4">
        <f t="shared" si="105"/>
        <v>40.980694980694977</v>
      </c>
      <c r="Z202" s="4">
        <f>+(S202/$S$3)*('Finished goods'!$Q$3*$S$1)</f>
        <v>1.8483416982285714</v>
      </c>
      <c r="AA202" s="4">
        <f>+'Finished goods'!$O$3*'Project Orto'!T202</f>
        <v>0.36347226831473628</v>
      </c>
      <c r="AB202" s="4"/>
      <c r="AC202" s="7">
        <f t="shared" si="106"/>
        <v>158.72130157432812</v>
      </c>
    </row>
  </sheetData>
  <autoFilter ref="B4:AC4" xr:uid="{A261D3EF-DCD0-46C4-9FC0-F29520733099}"/>
  <mergeCells count="72">
    <mergeCell ref="V172:AC172"/>
    <mergeCell ref="V189:AC189"/>
    <mergeCell ref="F190:G190"/>
    <mergeCell ref="A192:A202"/>
    <mergeCell ref="F173:G173"/>
    <mergeCell ref="A175:A185"/>
    <mergeCell ref="D188:Q188"/>
    <mergeCell ref="D189:J189"/>
    <mergeCell ref="M189:Q189"/>
    <mergeCell ref="F156:G156"/>
    <mergeCell ref="A158:A168"/>
    <mergeCell ref="D171:Q171"/>
    <mergeCell ref="D172:J172"/>
    <mergeCell ref="M172:Q172"/>
    <mergeCell ref="V138:AC138"/>
    <mergeCell ref="F139:G139"/>
    <mergeCell ref="A141:A151"/>
    <mergeCell ref="D154:Q154"/>
    <mergeCell ref="D155:J155"/>
    <mergeCell ref="M155:Q155"/>
    <mergeCell ref="V155:AC155"/>
    <mergeCell ref="F122:G122"/>
    <mergeCell ref="A124:A134"/>
    <mergeCell ref="D137:Q137"/>
    <mergeCell ref="D138:J138"/>
    <mergeCell ref="M138:Q138"/>
    <mergeCell ref="V104:AC104"/>
    <mergeCell ref="F105:G105"/>
    <mergeCell ref="A107:A117"/>
    <mergeCell ref="D120:Q120"/>
    <mergeCell ref="D121:J121"/>
    <mergeCell ref="M121:Q121"/>
    <mergeCell ref="V121:AC121"/>
    <mergeCell ref="F88:G88"/>
    <mergeCell ref="A90:A100"/>
    <mergeCell ref="D103:Q103"/>
    <mergeCell ref="D104:J104"/>
    <mergeCell ref="M104:Q104"/>
    <mergeCell ref="V70:AC70"/>
    <mergeCell ref="F71:G71"/>
    <mergeCell ref="A73:A83"/>
    <mergeCell ref="D86:Q86"/>
    <mergeCell ref="D87:J87"/>
    <mergeCell ref="M87:Q87"/>
    <mergeCell ref="V87:AC87"/>
    <mergeCell ref="F54:G54"/>
    <mergeCell ref="A56:A66"/>
    <mergeCell ref="D69:Q69"/>
    <mergeCell ref="D70:J70"/>
    <mergeCell ref="M70:Q70"/>
    <mergeCell ref="A39:A49"/>
    <mergeCell ref="D52:Q52"/>
    <mergeCell ref="D53:J53"/>
    <mergeCell ref="M53:Q53"/>
    <mergeCell ref="V53:AC53"/>
    <mergeCell ref="D35:Q35"/>
    <mergeCell ref="D36:J36"/>
    <mergeCell ref="M36:Q36"/>
    <mergeCell ref="V36:AC36"/>
    <mergeCell ref="F37:G37"/>
    <mergeCell ref="A22:A32"/>
    <mergeCell ref="A5:A15"/>
    <mergeCell ref="D18:Q18"/>
    <mergeCell ref="D19:J19"/>
    <mergeCell ref="M19:Q19"/>
    <mergeCell ref="D1:Q1"/>
    <mergeCell ref="D2:J2"/>
    <mergeCell ref="M2:Q2"/>
    <mergeCell ref="V19:AC19"/>
    <mergeCell ref="F20:G20"/>
    <mergeCell ref="V2:AC2"/>
    <mergeCell ref="F3:G3"/>
  </mergeCells>
  <phoneticPr fontId="10" type="noConversion"/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16A1-E343-4D57-8A11-45EBAFAD25D0}">
  <sheetPr>
    <tabColor theme="3" tint="0.499984740745262"/>
  </sheetPr>
  <dimension ref="A1:AC94"/>
  <sheetViews>
    <sheetView zoomScale="86" zoomScaleNormal="85" workbookViewId="0">
      <pane xSplit="3" ySplit="4" topLeftCell="D10" activePane="bottomRight" state="frozen"/>
      <selection activeCell="B4" sqref="B4"/>
      <selection pane="topRight" activeCell="B4" sqref="B4"/>
      <selection pane="bottomLeft" activeCell="B4" sqref="B4"/>
      <selection pane="bottomRight" activeCell="R98" sqref="R98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bestFit="1" customWidth="1"/>
    <col min="6" max="6" width="8.44140625" bestFit="1" customWidth="1"/>
    <col min="7" max="7" width="8.44140625" customWidth="1"/>
    <col min="8" max="8" width="15.44140625" bestFit="1" customWidth="1"/>
    <col min="9" max="10" width="14" bestFit="1" customWidth="1"/>
    <col min="11" max="11" width="10.44140625" hidden="1" customWidth="1" outlineLevel="1"/>
    <col min="12" max="12" width="13.44140625" hidden="1" customWidth="1" outlineLevel="1"/>
    <col min="13" max="13" width="16.5546875" hidden="1" customWidth="1" outlineLevel="1"/>
    <col min="14" max="14" width="14.6640625" hidden="1" customWidth="1" outlineLevel="1"/>
    <col min="15" max="15" width="14" hidden="1" customWidth="1" outlineLevel="1"/>
    <col min="16" max="16" width="13.664062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6.5546875" bestFit="1" customWidth="1"/>
    <col min="23" max="23" width="14.6640625" bestFit="1" customWidth="1"/>
    <col min="24" max="24" width="14" bestFit="1" customWidth="1"/>
    <col min="25" max="25" width="13.6640625" bestFit="1" customWidth="1"/>
    <col min="26" max="26" width="15.88671875" bestFit="1" customWidth="1"/>
    <col min="27" max="28" width="15.88671875" customWidth="1"/>
    <col min="29" max="29" width="14.6640625" bestFit="1" customWidth="1"/>
  </cols>
  <sheetData>
    <row r="1" spans="1:29" ht="18" x14ac:dyDescent="0.35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4" t="s">
        <v>32</v>
      </c>
      <c r="S1" s="47">
        <f>+S3/60/7</f>
        <v>1.8809523809523809</v>
      </c>
      <c r="T1" t="s">
        <v>83</v>
      </c>
    </row>
    <row r="2" spans="1:29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41" t="s">
        <v>41</v>
      </c>
      <c r="W2" s="241"/>
      <c r="X2" s="241"/>
      <c r="Y2" s="241"/>
      <c r="Z2" s="241"/>
      <c r="AA2" s="241"/>
      <c r="AB2" s="241"/>
      <c r="AC2" s="241"/>
    </row>
    <row r="3" spans="1:29" ht="18" x14ac:dyDescent="0.35">
      <c r="F3" s="225" t="s">
        <v>44</v>
      </c>
      <c r="G3" s="225"/>
      <c r="I3" s="20">
        <f>SUBTOTAL(9,I5:I6)</f>
        <v>0.94610833333333333</v>
      </c>
      <c r="J3" s="20">
        <f>SUBTOTAL(9,J5:J6)</f>
        <v>0.85149750000000002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 t="shared" ref="S3:AC3" si="0">SUBTOTAL(9,S5:S6)</f>
        <v>790</v>
      </c>
      <c r="T3" s="17">
        <f t="shared" si="0"/>
        <v>9.4610833333333328</v>
      </c>
      <c r="U3" s="17">
        <f t="shared" si="0"/>
        <v>8.5149749999999997</v>
      </c>
      <c r="V3" s="18">
        <f t="shared" si="0"/>
        <v>6.6850734753174663</v>
      </c>
      <c r="W3" s="18">
        <f t="shared" si="0"/>
        <v>5.7808165274999997E-2</v>
      </c>
      <c r="X3" s="18">
        <f t="shared" si="0"/>
        <v>124.42500000000001</v>
      </c>
      <c r="Y3" s="18">
        <f t="shared" si="0"/>
        <v>46.515444015444018</v>
      </c>
      <c r="Z3" s="18">
        <f t="shared" si="0"/>
        <v>1.8809523809523809</v>
      </c>
      <c r="AA3" s="18">
        <f t="shared" si="0"/>
        <v>1.0967410108557529</v>
      </c>
      <c r="AB3" s="18">
        <f t="shared" si="0"/>
        <v>0</v>
      </c>
      <c r="AC3" s="19">
        <f t="shared" si="0"/>
        <v>180.66101904784466</v>
      </c>
    </row>
    <row r="4" spans="1:29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79</v>
      </c>
      <c r="Q4" s="1" t="s">
        <v>38</v>
      </c>
      <c r="R4" s="1" t="s">
        <v>39</v>
      </c>
      <c r="S4" s="2" t="s">
        <v>43</v>
      </c>
      <c r="T4" s="2" t="s">
        <v>2</v>
      </c>
      <c r="U4" s="2" t="s">
        <v>7</v>
      </c>
      <c r="V4" s="2" t="str">
        <f>+'Finished goods'!K4</f>
        <v>energia €/h</v>
      </c>
      <c r="W4" s="2" t="str">
        <f>+'Finished goods'!L4</f>
        <v>materiale €/Kg</v>
      </c>
      <c r="X4" s="2" t="str">
        <f>+'Finished goods'!M4</f>
        <v>mod</v>
      </c>
      <c r="Y4" s="2" t="str">
        <f>+'Finished goods'!N4</f>
        <v>ammort</v>
      </c>
      <c r="Z4" s="2" t="str">
        <f>+'Finished goods'!Q4</f>
        <v>Accensione</v>
      </c>
      <c r="AA4" s="3" t="s">
        <v>111</v>
      </c>
      <c r="AB4" s="3" t="s">
        <v>115</v>
      </c>
      <c r="AC4" s="3" t="s">
        <v>42</v>
      </c>
    </row>
    <row r="5" spans="1:29" x14ac:dyDescent="0.3">
      <c r="A5" s="245" t="s">
        <v>399</v>
      </c>
      <c r="B5" s="21" t="s">
        <v>124</v>
      </c>
      <c r="C5" s="4" t="str">
        <f>+'Finished goods'!A26</f>
        <v>Oliera1</v>
      </c>
      <c r="D5" s="5">
        <f>VLOOKUP($C5,'Finished goods'!$A$5:$Q$27,2,FALSE)</f>
        <v>2</v>
      </c>
      <c r="E5" s="5">
        <f>VLOOKUP($C5,'Finished goods'!$A$5:$Q$27,3,FALSE)</f>
        <v>1</v>
      </c>
      <c r="F5" s="5">
        <f>VLOOKUP($C5,'Finished goods'!$A$5:$Q$27,4,FALSE)</f>
        <v>0.54</v>
      </c>
      <c r="G5" s="5">
        <f>VLOOKUP($C5,'Finished goods'!$A$5:$Q$27,5,FALSE)</f>
        <v>54</v>
      </c>
      <c r="H5" s="8">
        <f>VLOOKUP($C5,'Finished goods'!$A$5:$Q$27,6,FALSE)</f>
        <v>1.830542E-4</v>
      </c>
      <c r="I5" s="9">
        <f>VLOOKUP($C5,'Finished goods'!$A$5:$Q$27,7,FALSE)</f>
        <v>0.50848388888888885</v>
      </c>
      <c r="J5" s="9">
        <f>VLOOKUP($C5,'Finished goods'!$A$5:$Q$27,8,FALSE)</f>
        <v>0.45763549999999997</v>
      </c>
      <c r="R5" s="23">
        <v>10</v>
      </c>
      <c r="S5" s="6">
        <f>+G5*$R5</f>
        <v>540</v>
      </c>
      <c r="T5" s="6">
        <f>+I5*$R5</f>
        <v>5.0848388888888882</v>
      </c>
      <c r="U5" s="4">
        <f>+J5*$R5</f>
        <v>4.5763549999999995</v>
      </c>
      <c r="V5" s="16">
        <f>+S5*$M$3/'COST DATA'!$D$26</f>
        <v>4.5695438945208</v>
      </c>
      <c r="W5" s="16">
        <f>+U5*$N$3</f>
        <v>3.1068874094999997E-2</v>
      </c>
      <c r="X5" s="27">
        <f>+S5*$O$3</f>
        <v>85.050000000000011</v>
      </c>
      <c r="Y5" s="4">
        <f>+S5*$P$3</f>
        <v>31.795366795366796</v>
      </c>
      <c r="Z5" s="4">
        <f>+(S5/$S$3)*($S$1)</f>
        <v>1.2857142857142856</v>
      </c>
      <c r="AA5" s="4">
        <f>+'Finished goods'!$O$3*'Project La Gallina'!T5</f>
        <v>0.5894410974471187</v>
      </c>
      <c r="AB5" s="4"/>
      <c r="AC5" s="7">
        <f>+V5+W5+X5+Y5+Z5+AA5+AB5</f>
        <v>123.32113494714402</v>
      </c>
    </row>
    <row r="6" spans="1:29" x14ac:dyDescent="0.3">
      <c r="A6" s="246"/>
      <c r="B6" s="21" t="s">
        <v>124</v>
      </c>
      <c r="C6" s="4" t="str">
        <f>+'Finished goods'!A27</f>
        <v>Piatto spirale</v>
      </c>
      <c r="D6" s="5">
        <f>VLOOKUP($C6,'Finished goods'!$A$5:$Q$27,2,FALSE)</f>
        <v>4</v>
      </c>
      <c r="E6" s="5">
        <f>VLOOKUP($C6,'Finished goods'!$A$5:$Q$27,3,FALSE)</f>
        <v>5</v>
      </c>
      <c r="F6" s="5">
        <f>VLOOKUP($C6,'Finished goods'!$A$5:$Q$27,4,FALSE)</f>
        <v>0.25</v>
      </c>
      <c r="G6" s="5">
        <f>VLOOKUP($C6,'Finished goods'!$A$5:$Q$27,5,FALSE)</f>
        <v>25</v>
      </c>
      <c r="H6" s="8">
        <f>VLOOKUP($C6,'Finished goods'!$A$5:$Q$27,6,FALSE)</f>
        <v>1.575448E-4</v>
      </c>
      <c r="I6" s="9">
        <f>VLOOKUP($C6,'Finished goods'!$A$5:$Q$27,7,FALSE)</f>
        <v>0.43762444444444443</v>
      </c>
      <c r="J6" s="9">
        <f>VLOOKUP($C6,'Finished goods'!$A$5:$Q$27,8,FALSE)</f>
        <v>0.39386199999999999</v>
      </c>
      <c r="R6" s="23">
        <v>10</v>
      </c>
      <c r="S6" s="6">
        <f>+G6*$R6</f>
        <v>250</v>
      </c>
      <c r="T6" s="6">
        <f>+I6*$R6</f>
        <v>4.3762444444444446</v>
      </c>
      <c r="U6" s="4">
        <f>+J6*$R6</f>
        <v>3.9386199999999998</v>
      </c>
      <c r="V6" s="16">
        <f>+S6*$M$3/'COST DATA'!$D$26</f>
        <v>2.1155295807966668</v>
      </c>
      <c r="W6" s="16">
        <f>+U6*$N$3</f>
        <v>2.6739291179999999E-2</v>
      </c>
      <c r="X6" s="27">
        <f>+S6*$O$3</f>
        <v>39.375000000000007</v>
      </c>
      <c r="Y6" s="4">
        <f t="shared" ref="Y6" si="1">+S6*$P$3</f>
        <v>14.72007722007722</v>
      </c>
      <c r="Z6" s="4">
        <f t="shared" ref="Z6" si="2">+(S6/$S$3)*($S$1)</f>
        <v>0.59523809523809523</v>
      </c>
      <c r="AA6" s="4">
        <f>+'Finished goods'!$O$3*'Project La Gallina'!T6</f>
        <v>0.50729991340863434</v>
      </c>
      <c r="AB6" s="4"/>
      <c r="AC6" s="7">
        <f>+V6+W6+X6+Y6+Z6+AA6+AB6</f>
        <v>57.33988410070063</v>
      </c>
    </row>
    <row r="9" spans="1:29" ht="18" x14ac:dyDescent="0.35">
      <c r="D9" s="237" t="s">
        <v>40</v>
      </c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4" t="s">
        <v>32</v>
      </c>
      <c r="S9" s="47">
        <f>+S11/60/7</f>
        <v>1.8809523809523809</v>
      </c>
      <c r="T9" t="s">
        <v>83</v>
      </c>
    </row>
    <row r="10" spans="1:29" x14ac:dyDescent="0.3">
      <c r="D10" s="236" t="s">
        <v>33</v>
      </c>
      <c r="E10" s="236"/>
      <c r="F10" s="236"/>
      <c r="G10" s="236"/>
      <c r="H10" s="236"/>
      <c r="I10" s="236"/>
      <c r="J10" s="236"/>
      <c r="M10" s="236" t="s">
        <v>36</v>
      </c>
      <c r="N10" s="236"/>
      <c r="O10" s="236"/>
      <c r="P10" s="236"/>
      <c r="Q10" s="236"/>
      <c r="V10" s="241" t="s">
        <v>41</v>
      </c>
      <c r="W10" s="241"/>
      <c r="X10" s="241"/>
      <c r="Y10" s="241"/>
      <c r="Z10" s="241"/>
      <c r="AA10" s="241"/>
      <c r="AB10" s="241"/>
      <c r="AC10" s="241"/>
    </row>
    <row r="11" spans="1:29" ht="18" x14ac:dyDescent="0.35">
      <c r="F11" s="225" t="s">
        <v>44</v>
      </c>
      <c r="G11" s="225"/>
      <c r="I11" s="20">
        <f>SUBTOTAL(9,I13:I14)</f>
        <v>0.94610833333333333</v>
      </c>
      <c r="J11" s="20">
        <f>SUBTOTAL(9,J13:J14)</f>
        <v>0.85149750000000002</v>
      </c>
      <c r="K11" s="1">
        <f>+'Finished goods'!$I$3</f>
        <v>2500</v>
      </c>
      <c r="L11" s="1">
        <f>+'Finished goods'!$J$3</f>
        <v>0.9</v>
      </c>
      <c r="M11" s="15">
        <f>+'Finished goods'!$K$3</f>
        <v>0.50772709939119998</v>
      </c>
      <c r="N11" s="15">
        <f>+'Finished goods'!$L$3</f>
        <v>6.7889999999999999E-3</v>
      </c>
      <c r="O11" s="13">
        <f>+'Finished goods'!$M$3</f>
        <v>0.15750000000000003</v>
      </c>
      <c r="P11" s="46">
        <f>+'Finished goods'!$N$3</f>
        <v>5.8880308880308881E-2</v>
      </c>
      <c r="Q11" s="1"/>
      <c r="S11" s="17">
        <f t="shared" ref="S11:AC11" si="3">SUBTOTAL(9,S13:S14)</f>
        <v>790</v>
      </c>
      <c r="T11" s="17">
        <f t="shared" si="3"/>
        <v>9.4610833333333328</v>
      </c>
      <c r="U11" s="17">
        <f t="shared" si="3"/>
        <v>8.5149749999999997</v>
      </c>
      <c r="V11" s="18">
        <f t="shared" si="3"/>
        <v>6.6850734753174663</v>
      </c>
      <c r="W11" s="18">
        <f t="shared" si="3"/>
        <v>5.7808165274999997E-2</v>
      </c>
      <c r="X11" s="18">
        <f t="shared" si="3"/>
        <v>124.42500000000001</v>
      </c>
      <c r="Y11" s="18">
        <f t="shared" si="3"/>
        <v>46.515444015444018</v>
      </c>
      <c r="Z11" s="18">
        <f t="shared" si="3"/>
        <v>1.8809523809523809</v>
      </c>
      <c r="AA11" s="18">
        <f t="shared" si="3"/>
        <v>1.0967410108557529</v>
      </c>
      <c r="AB11" s="18">
        <f t="shared" si="3"/>
        <v>0</v>
      </c>
      <c r="AC11" s="19">
        <f t="shared" si="3"/>
        <v>180.66101904784466</v>
      </c>
    </row>
    <row r="12" spans="1:29" x14ac:dyDescent="0.3">
      <c r="A12" s="1" t="s">
        <v>145</v>
      </c>
      <c r="B12" s="1" t="s">
        <v>30</v>
      </c>
      <c r="C12" s="1" t="s">
        <v>0</v>
      </c>
      <c r="D12" s="1" t="s">
        <v>4</v>
      </c>
      <c r="E12" s="1" t="s">
        <v>5</v>
      </c>
      <c r="F12" s="1" t="s">
        <v>45</v>
      </c>
      <c r="G12" s="1" t="s">
        <v>57</v>
      </c>
      <c r="H12" s="1" t="s">
        <v>6</v>
      </c>
      <c r="I12" s="1" t="s">
        <v>2</v>
      </c>
      <c r="J12" s="1" t="s">
        <v>7</v>
      </c>
      <c r="K12" s="1" t="s">
        <v>31</v>
      </c>
      <c r="L12" s="1" t="s">
        <v>8</v>
      </c>
      <c r="M12" s="1" t="s">
        <v>34</v>
      </c>
      <c r="N12" s="1" t="s">
        <v>35</v>
      </c>
      <c r="O12" s="1" t="s">
        <v>37</v>
      </c>
      <c r="P12" s="1" t="s">
        <v>79</v>
      </c>
      <c r="Q12" s="1" t="s">
        <v>38</v>
      </c>
      <c r="R12" s="1" t="s">
        <v>39</v>
      </c>
      <c r="S12" s="2" t="s">
        <v>43</v>
      </c>
      <c r="T12" s="2" t="s">
        <v>2</v>
      </c>
      <c r="U12" s="2" t="s">
        <v>7</v>
      </c>
      <c r="V12" s="2">
        <f>+'Finished goods'!K12</f>
        <v>0</v>
      </c>
      <c r="W12" s="2">
        <f>+'Finished goods'!L12</f>
        <v>0</v>
      </c>
      <c r="X12" s="2">
        <f>+'Finished goods'!M12</f>
        <v>0</v>
      </c>
      <c r="Y12" s="2">
        <f>+'Finished goods'!N12</f>
        <v>0</v>
      </c>
      <c r="Z12" s="2">
        <f>+'Finished goods'!Q12</f>
        <v>0</v>
      </c>
      <c r="AA12" s="3" t="s">
        <v>111</v>
      </c>
      <c r="AB12" s="3" t="s">
        <v>115</v>
      </c>
      <c r="AC12" s="3" t="s">
        <v>42</v>
      </c>
    </row>
    <row r="13" spans="1:29" x14ac:dyDescent="0.3">
      <c r="A13" s="245" t="s">
        <v>400</v>
      </c>
      <c r="B13" s="21" t="s">
        <v>124</v>
      </c>
      <c r="C13" s="4" t="str">
        <f>+C5</f>
        <v>Oliera1</v>
      </c>
      <c r="D13" s="5">
        <f>VLOOKUP($C13,'Finished goods'!$A$5:$Q$27,2,FALSE)</f>
        <v>2</v>
      </c>
      <c r="E13" s="5">
        <f>VLOOKUP($C13,'Finished goods'!$A$5:$Q$27,3,FALSE)</f>
        <v>1</v>
      </c>
      <c r="F13" s="5">
        <f>VLOOKUP($C13,'Finished goods'!$A$5:$Q$27,4,FALSE)</f>
        <v>0.54</v>
      </c>
      <c r="G13" s="5">
        <f>VLOOKUP($C13,'Finished goods'!$A$5:$Q$27,5,FALSE)</f>
        <v>54</v>
      </c>
      <c r="H13" s="8">
        <f>VLOOKUP($C13,'Finished goods'!$A$5:$Q$27,6,FALSE)</f>
        <v>1.830542E-4</v>
      </c>
      <c r="I13" s="9">
        <f>VLOOKUP($C13,'Finished goods'!$A$5:$Q$27,7,FALSE)</f>
        <v>0.50848388888888885</v>
      </c>
      <c r="J13" s="9">
        <f>VLOOKUP($C13,'Finished goods'!$A$5:$Q$27,8,FALSE)</f>
        <v>0.45763549999999997</v>
      </c>
      <c r="R13" s="23">
        <v>10</v>
      </c>
      <c r="S13" s="6">
        <f>+G13*$R13</f>
        <v>540</v>
      </c>
      <c r="T13" s="6">
        <f>+I13*$R13</f>
        <v>5.0848388888888882</v>
      </c>
      <c r="U13" s="4">
        <f>+J13*$R13</f>
        <v>4.5763549999999995</v>
      </c>
      <c r="V13" s="16">
        <f>+S13*$M$3/'COST DATA'!$D$26</f>
        <v>4.5695438945208</v>
      </c>
      <c r="W13" s="16">
        <f>+U13*$N$3</f>
        <v>3.1068874094999997E-2</v>
      </c>
      <c r="X13" s="27">
        <f>+S13*$O$3</f>
        <v>85.050000000000011</v>
      </c>
      <c r="Y13" s="4">
        <f>+S13*$P$3</f>
        <v>31.795366795366796</v>
      </c>
      <c r="Z13" s="4">
        <f>+(S13/$S$3)*($S$1)</f>
        <v>1.2857142857142856</v>
      </c>
      <c r="AA13" s="4">
        <f>+'Finished goods'!$O$3*'Project La Gallina'!T13</f>
        <v>0.5894410974471187</v>
      </c>
      <c r="AB13" s="4"/>
      <c r="AC13" s="7">
        <f>+V13+W13+X13+Y13+Z13+AA13+AB13</f>
        <v>123.32113494714402</v>
      </c>
    </row>
    <row r="14" spans="1:29" x14ac:dyDescent="0.3">
      <c r="A14" s="246"/>
      <c r="B14" s="21" t="s">
        <v>124</v>
      </c>
      <c r="C14" s="4" t="str">
        <f>+C6</f>
        <v>Piatto spirale</v>
      </c>
      <c r="D14" s="5">
        <f>VLOOKUP($C14,'Finished goods'!$A$5:$Q$27,2,FALSE)</f>
        <v>4</v>
      </c>
      <c r="E14" s="5">
        <f>VLOOKUP($C14,'Finished goods'!$A$5:$Q$27,3,FALSE)</f>
        <v>5</v>
      </c>
      <c r="F14" s="5">
        <f>VLOOKUP($C14,'Finished goods'!$A$5:$Q$27,4,FALSE)</f>
        <v>0.25</v>
      </c>
      <c r="G14" s="5">
        <f>VLOOKUP($C14,'Finished goods'!$A$5:$Q$27,5,FALSE)</f>
        <v>25</v>
      </c>
      <c r="H14" s="8">
        <f>VLOOKUP($C14,'Finished goods'!$A$5:$Q$27,6,FALSE)</f>
        <v>1.575448E-4</v>
      </c>
      <c r="I14" s="9">
        <f>VLOOKUP($C14,'Finished goods'!$A$5:$Q$27,7,FALSE)</f>
        <v>0.43762444444444443</v>
      </c>
      <c r="J14" s="9">
        <f>VLOOKUP($C14,'Finished goods'!$A$5:$Q$27,8,FALSE)</f>
        <v>0.39386199999999999</v>
      </c>
      <c r="R14" s="23">
        <v>10</v>
      </c>
      <c r="S14" s="6">
        <f>+G14*$R14</f>
        <v>250</v>
      </c>
      <c r="T14" s="6">
        <f>+I14*$R14</f>
        <v>4.3762444444444446</v>
      </c>
      <c r="U14" s="4">
        <f>+J14*$R14</f>
        <v>3.9386199999999998</v>
      </c>
      <c r="V14" s="16">
        <f>+S14*$M$3/'COST DATA'!$D$26</f>
        <v>2.1155295807966668</v>
      </c>
      <c r="W14" s="16">
        <f>+U14*$N$3</f>
        <v>2.6739291179999999E-2</v>
      </c>
      <c r="X14" s="27">
        <f>+S14*$O$3</f>
        <v>39.375000000000007</v>
      </c>
      <c r="Y14" s="4">
        <f t="shared" ref="Y14" si="4">+S14*$P$3</f>
        <v>14.72007722007722</v>
      </c>
      <c r="Z14" s="4">
        <f t="shared" ref="Z14" si="5">+(S14/$S$3)*($S$1)</f>
        <v>0.59523809523809523</v>
      </c>
      <c r="AA14" s="4">
        <f>+'Finished goods'!$O$3*'Project La Gallina'!T14</f>
        <v>0.50729991340863434</v>
      </c>
      <c r="AB14" s="4"/>
      <c r="AC14" s="7">
        <f>+V14+W14+X14+Y14+Z14+AA14+AB14</f>
        <v>57.33988410070063</v>
      </c>
    </row>
    <row r="17" spans="1:29" ht="18" x14ac:dyDescent="0.35">
      <c r="D17" s="237" t="s">
        <v>40</v>
      </c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4" t="s">
        <v>32</v>
      </c>
      <c r="S17" s="47">
        <f>+S19/60/7</f>
        <v>1.8809523809523809</v>
      </c>
      <c r="T17" t="s">
        <v>83</v>
      </c>
    </row>
    <row r="18" spans="1:29" x14ac:dyDescent="0.3">
      <c r="D18" s="236" t="s">
        <v>33</v>
      </c>
      <c r="E18" s="236"/>
      <c r="F18" s="236"/>
      <c r="G18" s="236"/>
      <c r="H18" s="236"/>
      <c r="I18" s="236"/>
      <c r="J18" s="236"/>
      <c r="M18" s="236" t="s">
        <v>36</v>
      </c>
      <c r="N18" s="236"/>
      <c r="O18" s="236"/>
      <c r="P18" s="236"/>
      <c r="Q18" s="236"/>
      <c r="V18" s="241" t="s">
        <v>41</v>
      </c>
      <c r="W18" s="241"/>
      <c r="X18" s="241"/>
      <c r="Y18" s="241"/>
      <c r="Z18" s="241"/>
      <c r="AA18" s="241"/>
      <c r="AB18" s="241"/>
      <c r="AC18" s="241"/>
    </row>
    <row r="19" spans="1:29" ht="18" x14ac:dyDescent="0.35">
      <c r="F19" s="225" t="s">
        <v>44</v>
      </c>
      <c r="G19" s="225"/>
      <c r="I19" s="20">
        <f>SUBTOTAL(9,I21:I22)</f>
        <v>0.94610833333333333</v>
      </c>
      <c r="J19" s="20">
        <f>SUBTOTAL(9,J21:J22)</f>
        <v>0.85149750000000002</v>
      </c>
      <c r="K19" s="1">
        <f>+'Finished goods'!$I$3</f>
        <v>2500</v>
      </c>
      <c r="L19" s="1">
        <f>+'Finished goods'!$J$3</f>
        <v>0.9</v>
      </c>
      <c r="M19" s="15">
        <f>+'Finished goods'!$K$3</f>
        <v>0.50772709939119998</v>
      </c>
      <c r="N19" s="15">
        <f>+'Finished goods'!$L$3</f>
        <v>6.7889999999999999E-3</v>
      </c>
      <c r="O19" s="13">
        <f>+'Finished goods'!$M$3</f>
        <v>0.15750000000000003</v>
      </c>
      <c r="P19" s="46">
        <f>+'Finished goods'!$N$3</f>
        <v>5.8880308880308881E-2</v>
      </c>
      <c r="Q19" s="1"/>
      <c r="S19" s="17">
        <f t="shared" ref="S19:AC19" si="6">SUBTOTAL(9,S21:S22)</f>
        <v>790</v>
      </c>
      <c r="T19" s="17">
        <f t="shared" si="6"/>
        <v>9.4610833333333328</v>
      </c>
      <c r="U19" s="17">
        <f t="shared" si="6"/>
        <v>8.5149749999999997</v>
      </c>
      <c r="V19" s="18">
        <f t="shared" si="6"/>
        <v>6.6850734753174663</v>
      </c>
      <c r="W19" s="18">
        <f t="shared" si="6"/>
        <v>5.7808165274999997E-2</v>
      </c>
      <c r="X19" s="18">
        <f t="shared" si="6"/>
        <v>124.42500000000001</v>
      </c>
      <c r="Y19" s="18">
        <f t="shared" si="6"/>
        <v>46.515444015444018</v>
      </c>
      <c r="Z19" s="18">
        <f t="shared" si="6"/>
        <v>1.8809523809523809</v>
      </c>
      <c r="AA19" s="18">
        <f t="shared" si="6"/>
        <v>1.0967410108557529</v>
      </c>
      <c r="AB19" s="18">
        <f t="shared" si="6"/>
        <v>0</v>
      </c>
      <c r="AC19" s="19">
        <f t="shared" si="6"/>
        <v>180.66101904784466</v>
      </c>
    </row>
    <row r="20" spans="1:29" x14ac:dyDescent="0.3">
      <c r="A20" s="1" t="s">
        <v>145</v>
      </c>
      <c r="B20" s="1" t="s">
        <v>30</v>
      </c>
      <c r="C20" s="1" t="s">
        <v>0</v>
      </c>
      <c r="D20" s="1" t="s">
        <v>4</v>
      </c>
      <c r="E20" s="1" t="s">
        <v>5</v>
      </c>
      <c r="F20" s="1" t="s">
        <v>45</v>
      </c>
      <c r="G20" s="1" t="s">
        <v>57</v>
      </c>
      <c r="H20" s="1" t="s">
        <v>6</v>
      </c>
      <c r="I20" s="1" t="s">
        <v>2</v>
      </c>
      <c r="J20" s="1" t="s">
        <v>7</v>
      </c>
      <c r="K20" s="1" t="s">
        <v>31</v>
      </c>
      <c r="L20" s="1" t="s">
        <v>8</v>
      </c>
      <c r="M20" s="1" t="s">
        <v>34</v>
      </c>
      <c r="N20" s="1" t="s">
        <v>35</v>
      </c>
      <c r="O20" s="1" t="s">
        <v>37</v>
      </c>
      <c r="P20" s="1" t="s">
        <v>79</v>
      </c>
      <c r="Q20" s="1" t="s">
        <v>38</v>
      </c>
      <c r="R20" s="1" t="s">
        <v>39</v>
      </c>
      <c r="S20" s="2" t="s">
        <v>43</v>
      </c>
      <c r="T20" s="2" t="s">
        <v>2</v>
      </c>
      <c r="U20" s="2" t="s">
        <v>7</v>
      </c>
      <c r="V20" s="2">
        <f>+'Finished goods'!K20</f>
        <v>0</v>
      </c>
      <c r="W20" s="2">
        <f>+'Finished goods'!L20</f>
        <v>0</v>
      </c>
      <c r="X20" s="2">
        <f>+'Finished goods'!M20</f>
        <v>0</v>
      </c>
      <c r="Y20" s="2">
        <f>+'Finished goods'!N20</f>
        <v>0</v>
      </c>
      <c r="Z20" s="2">
        <f>+'Finished goods'!Q20</f>
        <v>0</v>
      </c>
      <c r="AA20" s="3" t="s">
        <v>111</v>
      </c>
      <c r="AB20" s="3" t="s">
        <v>115</v>
      </c>
      <c r="AC20" s="3" t="s">
        <v>42</v>
      </c>
    </row>
    <row r="21" spans="1:29" x14ac:dyDescent="0.3">
      <c r="A21" s="245" t="s">
        <v>401</v>
      </c>
      <c r="B21" s="21" t="s">
        <v>124</v>
      </c>
      <c r="C21" s="4" t="str">
        <f>+C5</f>
        <v>Oliera1</v>
      </c>
      <c r="D21" s="5">
        <f>VLOOKUP($C21,'Finished goods'!$A$5:$Q$27,2,FALSE)</f>
        <v>2</v>
      </c>
      <c r="E21" s="5">
        <f>VLOOKUP($C21,'Finished goods'!$A$5:$Q$27,3,FALSE)</f>
        <v>1</v>
      </c>
      <c r="F21" s="5">
        <f>VLOOKUP($C21,'Finished goods'!$A$5:$Q$27,4,FALSE)</f>
        <v>0.54</v>
      </c>
      <c r="G21" s="5">
        <f>VLOOKUP($C21,'Finished goods'!$A$5:$Q$27,5,FALSE)</f>
        <v>54</v>
      </c>
      <c r="H21" s="8">
        <f>VLOOKUP($C21,'Finished goods'!$A$5:$Q$27,6,FALSE)</f>
        <v>1.830542E-4</v>
      </c>
      <c r="I21" s="9">
        <f>VLOOKUP($C21,'Finished goods'!$A$5:$Q$27,7,FALSE)</f>
        <v>0.50848388888888885</v>
      </c>
      <c r="J21" s="9">
        <f>VLOOKUP($C21,'Finished goods'!$A$5:$Q$27,8,FALSE)</f>
        <v>0.45763549999999997</v>
      </c>
      <c r="R21" s="23">
        <v>10</v>
      </c>
      <c r="S21" s="6">
        <f>+G21*$R21</f>
        <v>540</v>
      </c>
      <c r="T21" s="6">
        <f>+I21*$R21</f>
        <v>5.0848388888888882</v>
      </c>
      <c r="U21" s="4">
        <f>+J21*$R21</f>
        <v>4.5763549999999995</v>
      </c>
      <c r="V21" s="16">
        <f>+S21*$M$3/'COST DATA'!$D$26</f>
        <v>4.5695438945208</v>
      </c>
      <c r="W21" s="16">
        <f>+U21*$N$3</f>
        <v>3.1068874094999997E-2</v>
      </c>
      <c r="X21" s="27">
        <f>+S21*$O$3</f>
        <v>85.050000000000011</v>
      </c>
      <c r="Y21" s="4">
        <f>+S21*$P$3</f>
        <v>31.795366795366796</v>
      </c>
      <c r="Z21" s="4">
        <f>+(S21/$S$3)*($S$1)</f>
        <v>1.2857142857142856</v>
      </c>
      <c r="AA21" s="4">
        <f>+'Finished goods'!$O$3*'Project La Gallina'!T21</f>
        <v>0.5894410974471187</v>
      </c>
      <c r="AB21" s="4"/>
      <c r="AC21" s="7">
        <f>+V21+W21+X21+Y21+Z21+AA21+AB21</f>
        <v>123.32113494714402</v>
      </c>
    </row>
    <row r="22" spans="1:29" x14ac:dyDescent="0.3">
      <c r="A22" s="246"/>
      <c r="B22" s="21" t="s">
        <v>124</v>
      </c>
      <c r="C22" s="4" t="str">
        <f>+C6</f>
        <v>Piatto spirale</v>
      </c>
      <c r="D22" s="5">
        <f>VLOOKUP($C22,'Finished goods'!$A$5:$Q$27,2,FALSE)</f>
        <v>4</v>
      </c>
      <c r="E22" s="5">
        <f>VLOOKUP($C22,'Finished goods'!$A$5:$Q$27,3,FALSE)</f>
        <v>5</v>
      </c>
      <c r="F22" s="5">
        <f>VLOOKUP($C22,'Finished goods'!$A$5:$Q$27,4,FALSE)</f>
        <v>0.25</v>
      </c>
      <c r="G22" s="5">
        <f>VLOOKUP($C22,'Finished goods'!$A$5:$Q$27,5,FALSE)</f>
        <v>25</v>
      </c>
      <c r="H22" s="8">
        <f>VLOOKUP($C22,'Finished goods'!$A$5:$Q$27,6,FALSE)</f>
        <v>1.575448E-4</v>
      </c>
      <c r="I22" s="9">
        <f>VLOOKUP($C22,'Finished goods'!$A$5:$Q$27,7,FALSE)</f>
        <v>0.43762444444444443</v>
      </c>
      <c r="J22" s="9">
        <f>VLOOKUP($C22,'Finished goods'!$A$5:$Q$27,8,FALSE)</f>
        <v>0.39386199999999999</v>
      </c>
      <c r="R22" s="23">
        <v>10</v>
      </c>
      <c r="S22" s="6">
        <f>+G22*$R22</f>
        <v>250</v>
      </c>
      <c r="T22" s="6">
        <f>+I22*$R22</f>
        <v>4.3762444444444446</v>
      </c>
      <c r="U22" s="4">
        <f>+J22*$R22</f>
        <v>3.9386199999999998</v>
      </c>
      <c r="V22" s="16">
        <f>+S22*$M$3/'COST DATA'!$D$26</f>
        <v>2.1155295807966668</v>
      </c>
      <c r="W22" s="16">
        <f>+U22*$N$3</f>
        <v>2.6739291179999999E-2</v>
      </c>
      <c r="X22" s="27">
        <f>+S22*$O$3</f>
        <v>39.375000000000007</v>
      </c>
      <c r="Y22" s="4">
        <f t="shared" ref="Y22" si="7">+S22*$P$3</f>
        <v>14.72007722007722</v>
      </c>
      <c r="Z22" s="4">
        <f t="shared" ref="Z22" si="8">+(S22/$S$3)*($S$1)</f>
        <v>0.59523809523809523</v>
      </c>
      <c r="AA22" s="4">
        <f>+'Finished goods'!$O$3*'Project La Gallina'!T22</f>
        <v>0.50729991340863434</v>
      </c>
      <c r="AB22" s="4"/>
      <c r="AC22" s="7">
        <f>+V22+W22+X22+Y22+Z22+AA22+AB22</f>
        <v>57.33988410070063</v>
      </c>
    </row>
    <row r="25" spans="1:29" ht="18" x14ac:dyDescent="0.35">
      <c r="D25" s="237" t="s">
        <v>40</v>
      </c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4" t="s">
        <v>32</v>
      </c>
      <c r="S25" s="47">
        <f>+S27/60/7</f>
        <v>1.8809523809523809</v>
      </c>
      <c r="T25" t="s">
        <v>83</v>
      </c>
    </row>
    <row r="26" spans="1:29" x14ac:dyDescent="0.3">
      <c r="D26" s="236" t="s">
        <v>33</v>
      </c>
      <c r="E26" s="236"/>
      <c r="F26" s="236"/>
      <c r="G26" s="236"/>
      <c r="H26" s="236"/>
      <c r="I26" s="236"/>
      <c r="J26" s="236"/>
      <c r="M26" s="236" t="s">
        <v>36</v>
      </c>
      <c r="N26" s="236"/>
      <c r="O26" s="236"/>
      <c r="P26" s="236"/>
      <c r="Q26" s="236"/>
      <c r="V26" s="241" t="s">
        <v>41</v>
      </c>
      <c r="W26" s="241"/>
      <c r="X26" s="241"/>
      <c r="Y26" s="241"/>
      <c r="Z26" s="241"/>
      <c r="AA26" s="241"/>
      <c r="AB26" s="241"/>
      <c r="AC26" s="241"/>
    </row>
    <row r="27" spans="1:29" ht="18" x14ac:dyDescent="0.35">
      <c r="F27" s="225" t="s">
        <v>44</v>
      </c>
      <c r="G27" s="225"/>
      <c r="I27" s="20">
        <f>SUBTOTAL(9,I29:I30)</f>
        <v>0.94610833333333333</v>
      </c>
      <c r="J27" s="20">
        <f>SUBTOTAL(9,J29:J30)</f>
        <v>0.85149750000000002</v>
      </c>
      <c r="K27" s="1">
        <f>+'Finished goods'!$I$3</f>
        <v>2500</v>
      </c>
      <c r="L27" s="1">
        <f>+'Finished goods'!$J$3</f>
        <v>0.9</v>
      </c>
      <c r="M27" s="15">
        <f>+'Finished goods'!$K$3</f>
        <v>0.50772709939119998</v>
      </c>
      <c r="N27" s="15">
        <f>+'Finished goods'!$L$3</f>
        <v>6.7889999999999999E-3</v>
      </c>
      <c r="O27" s="13">
        <f>+'Finished goods'!$M$3</f>
        <v>0.15750000000000003</v>
      </c>
      <c r="P27" s="46">
        <f>+'Finished goods'!$N$3</f>
        <v>5.8880308880308881E-2</v>
      </c>
      <c r="Q27" s="1"/>
      <c r="S27" s="17">
        <f t="shared" ref="S27:AC27" si="9">SUBTOTAL(9,S29:S30)</f>
        <v>790</v>
      </c>
      <c r="T27" s="17">
        <f t="shared" si="9"/>
        <v>9.4610833333333328</v>
      </c>
      <c r="U27" s="17">
        <f t="shared" si="9"/>
        <v>8.5149749999999997</v>
      </c>
      <c r="V27" s="18">
        <f t="shared" si="9"/>
        <v>6.6850734753174663</v>
      </c>
      <c r="W27" s="18">
        <f t="shared" si="9"/>
        <v>5.7808165274999997E-2</v>
      </c>
      <c r="X27" s="18">
        <f t="shared" si="9"/>
        <v>124.42500000000001</v>
      </c>
      <c r="Y27" s="18">
        <f t="shared" si="9"/>
        <v>46.515444015444018</v>
      </c>
      <c r="Z27" s="18">
        <f t="shared" si="9"/>
        <v>1.8809523809523809</v>
      </c>
      <c r="AA27" s="18">
        <f t="shared" si="9"/>
        <v>1.0967410108557529</v>
      </c>
      <c r="AB27" s="18">
        <f t="shared" si="9"/>
        <v>0</v>
      </c>
      <c r="AC27" s="19">
        <f t="shared" si="9"/>
        <v>180.66101904784466</v>
      </c>
    </row>
    <row r="28" spans="1:29" x14ac:dyDescent="0.3">
      <c r="A28" s="1" t="s">
        <v>145</v>
      </c>
      <c r="B28" s="1" t="s">
        <v>30</v>
      </c>
      <c r="C28" s="1" t="s">
        <v>0</v>
      </c>
      <c r="D28" s="1" t="s">
        <v>4</v>
      </c>
      <c r="E28" s="1" t="s">
        <v>5</v>
      </c>
      <c r="F28" s="1" t="s">
        <v>45</v>
      </c>
      <c r="G28" s="1" t="s">
        <v>57</v>
      </c>
      <c r="H28" s="1" t="s">
        <v>6</v>
      </c>
      <c r="I28" s="1" t="s">
        <v>2</v>
      </c>
      <c r="J28" s="1" t="s">
        <v>7</v>
      </c>
      <c r="K28" s="1" t="s">
        <v>31</v>
      </c>
      <c r="L28" s="1" t="s">
        <v>8</v>
      </c>
      <c r="M28" s="1" t="s">
        <v>34</v>
      </c>
      <c r="N28" s="1" t="s">
        <v>35</v>
      </c>
      <c r="O28" s="1" t="s">
        <v>37</v>
      </c>
      <c r="P28" s="1" t="s">
        <v>79</v>
      </c>
      <c r="Q28" s="1" t="s">
        <v>38</v>
      </c>
      <c r="R28" s="1" t="s">
        <v>39</v>
      </c>
      <c r="S28" s="2" t="s">
        <v>43</v>
      </c>
      <c r="T28" s="2" t="s">
        <v>2</v>
      </c>
      <c r="U28" s="2" t="s">
        <v>7</v>
      </c>
      <c r="V28" s="2">
        <f>+'Finished goods'!K28</f>
        <v>0</v>
      </c>
      <c r="W28" s="2">
        <f>+'Finished goods'!L28</f>
        <v>0</v>
      </c>
      <c r="X28" s="2">
        <f>+'Finished goods'!M28</f>
        <v>0</v>
      </c>
      <c r="Y28" s="2">
        <f>+'Finished goods'!N28</f>
        <v>0</v>
      </c>
      <c r="Z28" s="2">
        <f>+'Finished goods'!Q28</f>
        <v>0</v>
      </c>
      <c r="AA28" s="3" t="s">
        <v>111</v>
      </c>
      <c r="AB28" s="3" t="s">
        <v>115</v>
      </c>
      <c r="AC28" s="3" t="s">
        <v>42</v>
      </c>
    </row>
    <row r="29" spans="1:29" x14ac:dyDescent="0.3">
      <c r="A29" s="245" t="s">
        <v>402</v>
      </c>
      <c r="B29" s="21" t="s">
        <v>124</v>
      </c>
      <c r="C29" s="4" t="str">
        <f>+C21</f>
        <v>Oliera1</v>
      </c>
      <c r="D29" s="5">
        <f>VLOOKUP($C29,'Finished goods'!$A$5:$Q$27,2,FALSE)</f>
        <v>2</v>
      </c>
      <c r="E29" s="5">
        <f>VLOOKUP($C29,'Finished goods'!$A$5:$Q$27,3,FALSE)</f>
        <v>1</v>
      </c>
      <c r="F29" s="5">
        <f>VLOOKUP($C29,'Finished goods'!$A$5:$Q$27,4,FALSE)</f>
        <v>0.54</v>
      </c>
      <c r="G29" s="5">
        <f>VLOOKUP($C29,'Finished goods'!$A$5:$Q$27,5,FALSE)</f>
        <v>54</v>
      </c>
      <c r="H29" s="8">
        <f>VLOOKUP($C29,'Finished goods'!$A$5:$Q$27,6,FALSE)</f>
        <v>1.830542E-4</v>
      </c>
      <c r="I29" s="9">
        <f>VLOOKUP($C29,'Finished goods'!$A$5:$Q$27,7,FALSE)</f>
        <v>0.50848388888888885</v>
      </c>
      <c r="J29" s="9">
        <f>VLOOKUP($C29,'Finished goods'!$A$5:$Q$27,8,FALSE)</f>
        <v>0.45763549999999997</v>
      </c>
      <c r="R29" s="23">
        <v>10</v>
      </c>
      <c r="S29" s="6">
        <f>+G29*$R29</f>
        <v>540</v>
      </c>
      <c r="T29" s="6">
        <f>+I29*$R29</f>
        <v>5.0848388888888882</v>
      </c>
      <c r="U29" s="4">
        <f>+J29*$R29</f>
        <v>4.5763549999999995</v>
      </c>
      <c r="V29" s="16">
        <f>+S29*$M$3/'COST DATA'!$D$26</f>
        <v>4.5695438945208</v>
      </c>
      <c r="W29" s="16">
        <f>+U29*$N$3</f>
        <v>3.1068874094999997E-2</v>
      </c>
      <c r="X29" s="27">
        <f>+S29*$O$3</f>
        <v>85.050000000000011</v>
      </c>
      <c r="Y29" s="4">
        <f>+S29*$P$3</f>
        <v>31.795366795366796</v>
      </c>
      <c r="Z29" s="4">
        <f>+(S29/$S$3)*($S$1)</f>
        <v>1.2857142857142856</v>
      </c>
      <c r="AA29" s="4">
        <f>+'Finished goods'!$O$3*'Project La Gallina'!T29</f>
        <v>0.5894410974471187</v>
      </c>
      <c r="AB29" s="4"/>
      <c r="AC29" s="7">
        <f>+V29+W29+X29+Y29+Z29+AA29+AB29</f>
        <v>123.32113494714402</v>
      </c>
    </row>
    <row r="30" spans="1:29" x14ac:dyDescent="0.3">
      <c r="A30" s="246"/>
      <c r="B30" s="21" t="s">
        <v>124</v>
      </c>
      <c r="C30" s="4" t="str">
        <f>+C22</f>
        <v>Piatto spirale</v>
      </c>
      <c r="D30" s="5">
        <f>VLOOKUP($C30,'Finished goods'!$A$5:$Q$27,2,FALSE)</f>
        <v>4</v>
      </c>
      <c r="E30" s="5">
        <f>VLOOKUP($C30,'Finished goods'!$A$5:$Q$27,3,FALSE)</f>
        <v>5</v>
      </c>
      <c r="F30" s="5">
        <f>VLOOKUP($C30,'Finished goods'!$A$5:$Q$27,4,FALSE)</f>
        <v>0.25</v>
      </c>
      <c r="G30" s="5">
        <f>VLOOKUP($C30,'Finished goods'!$A$5:$Q$27,5,FALSE)</f>
        <v>25</v>
      </c>
      <c r="H30" s="8">
        <f>VLOOKUP($C30,'Finished goods'!$A$5:$Q$27,6,FALSE)</f>
        <v>1.575448E-4</v>
      </c>
      <c r="I30" s="9">
        <f>VLOOKUP($C30,'Finished goods'!$A$5:$Q$27,7,FALSE)</f>
        <v>0.43762444444444443</v>
      </c>
      <c r="J30" s="9">
        <f>VLOOKUP($C30,'Finished goods'!$A$5:$Q$27,8,FALSE)</f>
        <v>0.39386199999999999</v>
      </c>
      <c r="R30" s="23">
        <v>10</v>
      </c>
      <c r="S30" s="6">
        <f>+G30*$R30</f>
        <v>250</v>
      </c>
      <c r="T30" s="6">
        <f>+I30*$R30</f>
        <v>4.3762444444444446</v>
      </c>
      <c r="U30" s="4">
        <f>+J30*$R30</f>
        <v>3.9386199999999998</v>
      </c>
      <c r="V30" s="16">
        <f>+S30*$M$3/'COST DATA'!$D$26</f>
        <v>2.1155295807966668</v>
      </c>
      <c r="W30" s="16">
        <f>+U30*$N$3</f>
        <v>2.6739291179999999E-2</v>
      </c>
      <c r="X30" s="27">
        <f>+S30*$O$3</f>
        <v>39.375000000000007</v>
      </c>
      <c r="Y30" s="4">
        <f t="shared" ref="Y30" si="10">+S30*$P$3</f>
        <v>14.72007722007722</v>
      </c>
      <c r="Z30" s="4">
        <f t="shared" ref="Z30" si="11">+(S30/$S$3)*($S$1)</f>
        <v>0.59523809523809523</v>
      </c>
      <c r="AA30" s="4">
        <f>+'Finished goods'!$O$3*'Project La Gallina'!T30</f>
        <v>0.50729991340863434</v>
      </c>
      <c r="AB30" s="4"/>
      <c r="AC30" s="7">
        <f>+V30+W30+X30+Y30+Z30+AA30+AB30</f>
        <v>57.33988410070063</v>
      </c>
    </row>
    <row r="33" spans="1:29" ht="18" x14ac:dyDescent="0.35">
      <c r="D33" s="237" t="s">
        <v>40</v>
      </c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4" t="s">
        <v>32</v>
      </c>
      <c r="S33" s="47">
        <f>+S35/60/7</f>
        <v>1.8809523809523809</v>
      </c>
      <c r="T33" t="s">
        <v>83</v>
      </c>
    </row>
    <row r="34" spans="1:29" x14ac:dyDescent="0.3">
      <c r="D34" s="236" t="s">
        <v>33</v>
      </c>
      <c r="E34" s="236"/>
      <c r="F34" s="236"/>
      <c r="G34" s="236"/>
      <c r="H34" s="236"/>
      <c r="I34" s="236"/>
      <c r="J34" s="236"/>
      <c r="M34" s="236" t="s">
        <v>36</v>
      </c>
      <c r="N34" s="236"/>
      <c r="O34" s="236"/>
      <c r="P34" s="236"/>
      <c r="Q34" s="236"/>
      <c r="V34" s="241" t="s">
        <v>41</v>
      </c>
      <c r="W34" s="241"/>
      <c r="X34" s="241"/>
      <c r="Y34" s="241"/>
      <c r="Z34" s="241"/>
      <c r="AA34" s="241"/>
      <c r="AB34" s="241"/>
      <c r="AC34" s="241"/>
    </row>
    <row r="35" spans="1:29" ht="18" x14ac:dyDescent="0.35">
      <c r="F35" s="225" t="s">
        <v>44</v>
      </c>
      <c r="G35" s="225"/>
      <c r="I35" s="20">
        <f>SUBTOTAL(9,I37:I38)</f>
        <v>0.94610833333333333</v>
      </c>
      <c r="J35" s="20">
        <f>SUBTOTAL(9,J37:J38)</f>
        <v>0.85149750000000002</v>
      </c>
      <c r="K35" s="1">
        <f>+'Finished goods'!$I$3</f>
        <v>2500</v>
      </c>
      <c r="L35" s="1">
        <f>+'Finished goods'!$J$3</f>
        <v>0.9</v>
      </c>
      <c r="M35" s="15">
        <f>+'Finished goods'!$K$3</f>
        <v>0.50772709939119998</v>
      </c>
      <c r="N35" s="15">
        <f>+'Finished goods'!$L$3</f>
        <v>6.7889999999999999E-3</v>
      </c>
      <c r="O35" s="13">
        <f>+'Finished goods'!$M$3</f>
        <v>0.15750000000000003</v>
      </c>
      <c r="P35" s="46">
        <f>+'Finished goods'!$N$3</f>
        <v>5.8880308880308881E-2</v>
      </c>
      <c r="Q35" s="1"/>
      <c r="S35" s="17">
        <f t="shared" ref="S35:AC35" si="12">SUBTOTAL(9,S37:S38)</f>
        <v>790</v>
      </c>
      <c r="T35" s="17">
        <f t="shared" si="12"/>
        <v>9.4610833333333328</v>
      </c>
      <c r="U35" s="17">
        <f t="shared" si="12"/>
        <v>8.5149749999999997</v>
      </c>
      <c r="V35" s="18">
        <f t="shared" si="12"/>
        <v>6.6850734753174663</v>
      </c>
      <c r="W35" s="18">
        <f t="shared" si="12"/>
        <v>5.7808165274999997E-2</v>
      </c>
      <c r="X35" s="18">
        <f t="shared" si="12"/>
        <v>124.42500000000001</v>
      </c>
      <c r="Y35" s="18">
        <f t="shared" si="12"/>
        <v>46.515444015444018</v>
      </c>
      <c r="Z35" s="18">
        <f t="shared" si="12"/>
        <v>1.8809523809523809</v>
      </c>
      <c r="AA35" s="18">
        <f t="shared" si="12"/>
        <v>1.0967410108557529</v>
      </c>
      <c r="AB35" s="18">
        <f t="shared" si="12"/>
        <v>0</v>
      </c>
      <c r="AC35" s="19">
        <f t="shared" si="12"/>
        <v>180.66101904784466</v>
      </c>
    </row>
    <row r="36" spans="1:29" x14ac:dyDescent="0.3">
      <c r="A36" s="1" t="s">
        <v>145</v>
      </c>
      <c r="B36" s="1" t="s">
        <v>30</v>
      </c>
      <c r="C36" s="1" t="s">
        <v>0</v>
      </c>
      <c r="D36" s="1" t="s">
        <v>4</v>
      </c>
      <c r="E36" s="1" t="s">
        <v>5</v>
      </c>
      <c r="F36" s="1" t="s">
        <v>45</v>
      </c>
      <c r="G36" s="1" t="s">
        <v>57</v>
      </c>
      <c r="H36" s="1" t="s">
        <v>6</v>
      </c>
      <c r="I36" s="1" t="s">
        <v>2</v>
      </c>
      <c r="J36" s="1" t="s">
        <v>7</v>
      </c>
      <c r="K36" s="1" t="s">
        <v>31</v>
      </c>
      <c r="L36" s="1" t="s">
        <v>8</v>
      </c>
      <c r="M36" s="1" t="s">
        <v>34</v>
      </c>
      <c r="N36" s="1" t="s">
        <v>35</v>
      </c>
      <c r="O36" s="1" t="s">
        <v>37</v>
      </c>
      <c r="P36" s="1" t="s">
        <v>79</v>
      </c>
      <c r="Q36" s="1" t="s">
        <v>38</v>
      </c>
      <c r="R36" s="1" t="s">
        <v>39</v>
      </c>
      <c r="S36" s="2" t="s">
        <v>43</v>
      </c>
      <c r="T36" s="2" t="s">
        <v>2</v>
      </c>
      <c r="U36" s="2" t="s">
        <v>7</v>
      </c>
      <c r="V36" s="2">
        <f>+'Finished goods'!K36</f>
        <v>0</v>
      </c>
      <c r="W36" s="2">
        <f>+'Finished goods'!L36</f>
        <v>0</v>
      </c>
      <c r="X36" s="2">
        <f>+'Finished goods'!M36</f>
        <v>0</v>
      </c>
      <c r="Y36" s="2">
        <f>+'Finished goods'!N36</f>
        <v>0</v>
      </c>
      <c r="Z36" s="2">
        <f>+'Finished goods'!Q36</f>
        <v>0</v>
      </c>
      <c r="AA36" s="3" t="s">
        <v>111</v>
      </c>
      <c r="AB36" s="3" t="s">
        <v>115</v>
      </c>
      <c r="AC36" s="3" t="s">
        <v>42</v>
      </c>
    </row>
    <row r="37" spans="1:29" x14ac:dyDescent="0.3">
      <c r="A37" s="245" t="s">
        <v>403</v>
      </c>
      <c r="B37" s="21" t="s">
        <v>124</v>
      </c>
      <c r="C37" s="4" t="str">
        <f>+C5</f>
        <v>Oliera1</v>
      </c>
      <c r="D37" s="5">
        <f>VLOOKUP($C37,'Finished goods'!$A$5:$Q$27,2,FALSE)</f>
        <v>2</v>
      </c>
      <c r="E37" s="5">
        <f>VLOOKUP($C37,'Finished goods'!$A$5:$Q$27,3,FALSE)</f>
        <v>1</v>
      </c>
      <c r="F37" s="5">
        <f>VLOOKUP($C37,'Finished goods'!$A$5:$Q$27,4,FALSE)</f>
        <v>0.54</v>
      </c>
      <c r="G37" s="5">
        <f>VLOOKUP($C37,'Finished goods'!$A$5:$Q$27,5,FALSE)</f>
        <v>54</v>
      </c>
      <c r="H37" s="8">
        <f>VLOOKUP($C37,'Finished goods'!$A$5:$Q$27,6,FALSE)</f>
        <v>1.830542E-4</v>
      </c>
      <c r="I37" s="9">
        <f>VLOOKUP($C37,'Finished goods'!$A$5:$Q$27,7,FALSE)</f>
        <v>0.50848388888888885</v>
      </c>
      <c r="J37" s="9">
        <f>VLOOKUP($C37,'Finished goods'!$A$5:$Q$27,8,FALSE)</f>
        <v>0.45763549999999997</v>
      </c>
      <c r="R37" s="23">
        <v>10</v>
      </c>
      <c r="S37" s="6">
        <f>+G37*$R37</f>
        <v>540</v>
      </c>
      <c r="T37" s="6">
        <f>+I37*$R37</f>
        <v>5.0848388888888882</v>
      </c>
      <c r="U37" s="4">
        <f>+J37*$R37</f>
        <v>4.5763549999999995</v>
      </c>
      <c r="V37" s="16">
        <f>+S37*$M$3/'COST DATA'!$D$26</f>
        <v>4.5695438945208</v>
      </c>
      <c r="W37" s="16">
        <f>+U37*$N$3</f>
        <v>3.1068874094999997E-2</v>
      </c>
      <c r="X37" s="27">
        <f>+S37*$O$3</f>
        <v>85.050000000000011</v>
      </c>
      <c r="Y37" s="4">
        <f>+S37*$P$3</f>
        <v>31.795366795366796</v>
      </c>
      <c r="Z37" s="4">
        <f>+(S37/$S$3)*($S$1)</f>
        <v>1.2857142857142856</v>
      </c>
      <c r="AA37" s="4">
        <f>+'Finished goods'!$O$3*'Project La Gallina'!T37</f>
        <v>0.5894410974471187</v>
      </c>
      <c r="AB37" s="4"/>
      <c r="AC37" s="7">
        <f>+V37+W37+X37+Y37+Z37+AA37+AB37</f>
        <v>123.32113494714402</v>
      </c>
    </row>
    <row r="38" spans="1:29" x14ac:dyDescent="0.3">
      <c r="A38" s="246"/>
      <c r="B38" s="21" t="s">
        <v>124</v>
      </c>
      <c r="C38" s="4" t="str">
        <f>+C6</f>
        <v>Piatto spirale</v>
      </c>
      <c r="D38" s="5">
        <f>VLOOKUP($C38,'Finished goods'!$A$5:$Q$27,2,FALSE)</f>
        <v>4</v>
      </c>
      <c r="E38" s="5">
        <f>VLOOKUP($C38,'Finished goods'!$A$5:$Q$27,3,FALSE)</f>
        <v>5</v>
      </c>
      <c r="F38" s="5">
        <f>VLOOKUP($C38,'Finished goods'!$A$5:$Q$27,4,FALSE)</f>
        <v>0.25</v>
      </c>
      <c r="G38" s="5">
        <f>VLOOKUP($C38,'Finished goods'!$A$5:$Q$27,5,FALSE)</f>
        <v>25</v>
      </c>
      <c r="H38" s="8">
        <f>VLOOKUP($C38,'Finished goods'!$A$5:$Q$27,6,FALSE)</f>
        <v>1.575448E-4</v>
      </c>
      <c r="I38" s="9">
        <f>VLOOKUP($C38,'Finished goods'!$A$5:$Q$27,7,FALSE)</f>
        <v>0.43762444444444443</v>
      </c>
      <c r="J38" s="9">
        <f>VLOOKUP($C38,'Finished goods'!$A$5:$Q$27,8,FALSE)</f>
        <v>0.39386199999999999</v>
      </c>
      <c r="R38" s="23">
        <v>10</v>
      </c>
      <c r="S38" s="6">
        <f>+G38*$R38</f>
        <v>250</v>
      </c>
      <c r="T38" s="6">
        <f>+I38*$R38</f>
        <v>4.3762444444444446</v>
      </c>
      <c r="U38" s="4">
        <f>+J38*$R38</f>
        <v>3.9386199999999998</v>
      </c>
      <c r="V38" s="16">
        <f>+S38*$M$3/'COST DATA'!$D$26</f>
        <v>2.1155295807966668</v>
      </c>
      <c r="W38" s="16">
        <f>+U38*$N$3</f>
        <v>2.6739291179999999E-2</v>
      </c>
      <c r="X38" s="27">
        <f>+S38*$O$3</f>
        <v>39.375000000000007</v>
      </c>
      <c r="Y38" s="4">
        <f t="shared" ref="Y38" si="13">+S38*$P$3</f>
        <v>14.72007722007722</v>
      </c>
      <c r="Z38" s="4">
        <f t="shared" ref="Z38" si="14">+(S38/$S$3)*($S$1)</f>
        <v>0.59523809523809523</v>
      </c>
      <c r="AA38" s="4">
        <f>+'Finished goods'!$O$3*'Project La Gallina'!T38</f>
        <v>0.50729991340863434</v>
      </c>
      <c r="AB38" s="4"/>
      <c r="AC38" s="7">
        <f>+V38+W38+X38+Y38+Z38+AA38+AB38</f>
        <v>57.33988410070063</v>
      </c>
    </row>
    <row r="41" spans="1:29" ht="18" x14ac:dyDescent="0.35">
      <c r="D41" s="237" t="s">
        <v>40</v>
      </c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4" t="s">
        <v>32</v>
      </c>
      <c r="S41" s="47">
        <f>+S43/60/7</f>
        <v>1.8809523809523809</v>
      </c>
      <c r="T41" t="s">
        <v>83</v>
      </c>
    </row>
    <row r="42" spans="1:29" x14ac:dyDescent="0.3">
      <c r="D42" s="236" t="s">
        <v>33</v>
      </c>
      <c r="E42" s="236"/>
      <c r="F42" s="236"/>
      <c r="G42" s="236"/>
      <c r="H42" s="236"/>
      <c r="I42" s="236"/>
      <c r="J42" s="236"/>
      <c r="M42" s="236" t="s">
        <v>36</v>
      </c>
      <c r="N42" s="236"/>
      <c r="O42" s="236"/>
      <c r="P42" s="236"/>
      <c r="Q42" s="236"/>
      <c r="V42" s="241" t="s">
        <v>41</v>
      </c>
      <c r="W42" s="241"/>
      <c r="X42" s="241"/>
      <c r="Y42" s="241"/>
      <c r="Z42" s="241"/>
      <c r="AA42" s="241"/>
      <c r="AB42" s="241"/>
      <c r="AC42" s="241"/>
    </row>
    <row r="43" spans="1:29" ht="18" x14ac:dyDescent="0.35">
      <c r="F43" s="225" t="s">
        <v>44</v>
      </c>
      <c r="G43" s="225"/>
      <c r="I43" s="20">
        <f>SUBTOTAL(9,I45:I46)</f>
        <v>0.94610833333333333</v>
      </c>
      <c r="J43" s="20">
        <f>SUBTOTAL(9,J45:J46)</f>
        <v>0.85149750000000002</v>
      </c>
      <c r="K43" s="1">
        <f>+'Finished goods'!$I$3</f>
        <v>2500</v>
      </c>
      <c r="L43" s="1">
        <f>+'Finished goods'!$J$3</f>
        <v>0.9</v>
      </c>
      <c r="M43" s="15">
        <f>+'Finished goods'!$K$3</f>
        <v>0.50772709939119998</v>
      </c>
      <c r="N43" s="15">
        <f>+'Finished goods'!$L$3</f>
        <v>6.7889999999999999E-3</v>
      </c>
      <c r="O43" s="13">
        <f>+'Finished goods'!$M$3</f>
        <v>0.15750000000000003</v>
      </c>
      <c r="P43" s="46">
        <f>+'Finished goods'!$N$3</f>
        <v>5.8880308880308881E-2</v>
      </c>
      <c r="Q43" s="1"/>
      <c r="S43" s="17">
        <f t="shared" ref="S43:AC43" si="15">SUBTOTAL(9,S45:S46)</f>
        <v>790</v>
      </c>
      <c r="T43" s="17">
        <f t="shared" si="15"/>
        <v>9.4610833333333328</v>
      </c>
      <c r="U43" s="17">
        <f t="shared" si="15"/>
        <v>8.5149749999999997</v>
      </c>
      <c r="V43" s="18">
        <f t="shared" si="15"/>
        <v>6.6850734753174663</v>
      </c>
      <c r="W43" s="18">
        <f t="shared" si="15"/>
        <v>5.7808165274999997E-2</v>
      </c>
      <c r="X43" s="18">
        <f t="shared" si="15"/>
        <v>124.42500000000001</v>
      </c>
      <c r="Y43" s="18">
        <f t="shared" si="15"/>
        <v>46.515444015444018</v>
      </c>
      <c r="Z43" s="18">
        <f t="shared" si="15"/>
        <v>1.8809523809523809</v>
      </c>
      <c r="AA43" s="18">
        <f t="shared" si="15"/>
        <v>1.0967410108557529</v>
      </c>
      <c r="AB43" s="18">
        <f t="shared" si="15"/>
        <v>0</v>
      </c>
      <c r="AC43" s="19">
        <f t="shared" si="15"/>
        <v>180.66101904784466</v>
      </c>
    </row>
    <row r="44" spans="1:29" x14ac:dyDescent="0.3">
      <c r="A44" s="1" t="s">
        <v>145</v>
      </c>
      <c r="B44" s="1" t="s">
        <v>30</v>
      </c>
      <c r="C44" s="1" t="s">
        <v>0</v>
      </c>
      <c r="D44" s="1" t="s">
        <v>4</v>
      </c>
      <c r="E44" s="1" t="s">
        <v>5</v>
      </c>
      <c r="F44" s="1" t="s">
        <v>45</v>
      </c>
      <c r="G44" s="1" t="s">
        <v>57</v>
      </c>
      <c r="H44" s="1" t="s">
        <v>6</v>
      </c>
      <c r="I44" s="1" t="s">
        <v>2</v>
      </c>
      <c r="J44" s="1" t="s">
        <v>7</v>
      </c>
      <c r="K44" s="1" t="s">
        <v>31</v>
      </c>
      <c r="L44" s="1" t="s">
        <v>8</v>
      </c>
      <c r="M44" s="1" t="s">
        <v>34</v>
      </c>
      <c r="N44" s="1" t="s">
        <v>35</v>
      </c>
      <c r="O44" s="1" t="s">
        <v>37</v>
      </c>
      <c r="P44" s="1" t="s">
        <v>79</v>
      </c>
      <c r="Q44" s="1" t="s">
        <v>38</v>
      </c>
      <c r="R44" s="1" t="s">
        <v>39</v>
      </c>
      <c r="S44" s="2" t="s">
        <v>43</v>
      </c>
      <c r="T44" s="2" t="s">
        <v>2</v>
      </c>
      <c r="U44" s="2" t="s">
        <v>7</v>
      </c>
      <c r="V44" s="2">
        <f>+'Finished goods'!K44</f>
        <v>0</v>
      </c>
      <c r="W44" s="2">
        <f>+'Finished goods'!L44</f>
        <v>0</v>
      </c>
      <c r="X44" s="2">
        <f>+'Finished goods'!M44</f>
        <v>0</v>
      </c>
      <c r="Y44" s="2">
        <f>+'Finished goods'!N44</f>
        <v>0</v>
      </c>
      <c r="Z44" s="2">
        <f>+'Finished goods'!Q44</f>
        <v>0</v>
      </c>
      <c r="AA44" s="3" t="s">
        <v>111</v>
      </c>
      <c r="AB44" s="3" t="s">
        <v>115</v>
      </c>
      <c r="AC44" s="3" t="s">
        <v>42</v>
      </c>
    </row>
    <row r="45" spans="1:29" x14ac:dyDescent="0.3">
      <c r="A45" s="245" t="s">
        <v>404</v>
      </c>
      <c r="B45" s="21" t="s">
        <v>124</v>
      </c>
      <c r="C45" s="4" t="str">
        <f>+C37</f>
        <v>Oliera1</v>
      </c>
      <c r="D45" s="5">
        <f>VLOOKUP($C45,'Finished goods'!$A$5:$Q$27,2,FALSE)</f>
        <v>2</v>
      </c>
      <c r="E45" s="5">
        <f>VLOOKUP($C45,'Finished goods'!$A$5:$Q$27,3,FALSE)</f>
        <v>1</v>
      </c>
      <c r="F45" s="5">
        <f>VLOOKUP($C45,'Finished goods'!$A$5:$Q$27,4,FALSE)</f>
        <v>0.54</v>
      </c>
      <c r="G45" s="5">
        <f>VLOOKUP($C45,'Finished goods'!$A$5:$Q$27,5,FALSE)</f>
        <v>54</v>
      </c>
      <c r="H45" s="8">
        <f>VLOOKUP($C45,'Finished goods'!$A$5:$Q$27,6,FALSE)</f>
        <v>1.830542E-4</v>
      </c>
      <c r="I45" s="9">
        <f>VLOOKUP($C45,'Finished goods'!$A$5:$Q$27,7,FALSE)</f>
        <v>0.50848388888888885</v>
      </c>
      <c r="J45" s="9">
        <f>VLOOKUP($C45,'Finished goods'!$A$5:$Q$27,8,FALSE)</f>
        <v>0.45763549999999997</v>
      </c>
      <c r="R45" s="23">
        <v>10</v>
      </c>
      <c r="S45" s="6">
        <f>+G45*$R45</f>
        <v>540</v>
      </c>
      <c r="T45" s="6">
        <f>+I45*$R45</f>
        <v>5.0848388888888882</v>
      </c>
      <c r="U45" s="4">
        <f>+J45*$R45</f>
        <v>4.5763549999999995</v>
      </c>
      <c r="V45" s="16">
        <f>+S45*$M$3/'COST DATA'!$D$26</f>
        <v>4.5695438945208</v>
      </c>
      <c r="W45" s="16">
        <f>+U45*$N$3</f>
        <v>3.1068874094999997E-2</v>
      </c>
      <c r="X45" s="27">
        <f>+S45*$O$3</f>
        <v>85.050000000000011</v>
      </c>
      <c r="Y45" s="4">
        <f>+S45*$P$3</f>
        <v>31.795366795366796</v>
      </c>
      <c r="Z45" s="4">
        <f>+(S45/$S$3)*($S$1)</f>
        <v>1.2857142857142856</v>
      </c>
      <c r="AA45" s="4">
        <f>+'Finished goods'!$O$3*'Project La Gallina'!T45</f>
        <v>0.5894410974471187</v>
      </c>
      <c r="AB45" s="4"/>
      <c r="AC45" s="7">
        <f>+V45+W45+X45+Y45+Z45+AA45+AB45</f>
        <v>123.32113494714402</v>
      </c>
    </row>
    <row r="46" spans="1:29" x14ac:dyDescent="0.3">
      <c r="A46" s="246"/>
      <c r="B46" s="21" t="s">
        <v>124</v>
      </c>
      <c r="C46" s="4" t="str">
        <f>+C38</f>
        <v>Piatto spirale</v>
      </c>
      <c r="D46" s="5">
        <f>VLOOKUP($C46,'Finished goods'!$A$5:$Q$27,2,FALSE)</f>
        <v>4</v>
      </c>
      <c r="E46" s="5">
        <f>VLOOKUP($C46,'Finished goods'!$A$5:$Q$27,3,FALSE)</f>
        <v>5</v>
      </c>
      <c r="F46" s="5">
        <f>VLOOKUP($C46,'Finished goods'!$A$5:$Q$27,4,FALSE)</f>
        <v>0.25</v>
      </c>
      <c r="G46" s="5">
        <f>VLOOKUP($C46,'Finished goods'!$A$5:$Q$27,5,FALSE)</f>
        <v>25</v>
      </c>
      <c r="H46" s="8">
        <f>VLOOKUP($C46,'Finished goods'!$A$5:$Q$27,6,FALSE)</f>
        <v>1.575448E-4</v>
      </c>
      <c r="I46" s="9">
        <f>VLOOKUP($C46,'Finished goods'!$A$5:$Q$27,7,FALSE)</f>
        <v>0.43762444444444443</v>
      </c>
      <c r="J46" s="9">
        <f>VLOOKUP($C46,'Finished goods'!$A$5:$Q$27,8,FALSE)</f>
        <v>0.39386199999999999</v>
      </c>
      <c r="R46" s="23">
        <v>10</v>
      </c>
      <c r="S46" s="6">
        <f>+G46*$R46</f>
        <v>250</v>
      </c>
      <c r="T46" s="6">
        <f>+I46*$R46</f>
        <v>4.3762444444444446</v>
      </c>
      <c r="U46" s="4">
        <f>+J46*$R46</f>
        <v>3.9386199999999998</v>
      </c>
      <c r="V46" s="16">
        <f>+S46*$M$3/'COST DATA'!$D$26</f>
        <v>2.1155295807966668</v>
      </c>
      <c r="W46" s="16">
        <f>+U46*$N$3</f>
        <v>2.6739291179999999E-2</v>
      </c>
      <c r="X46" s="27">
        <f>+S46*$O$3</f>
        <v>39.375000000000007</v>
      </c>
      <c r="Y46" s="4">
        <f t="shared" ref="Y46" si="16">+S46*$P$3</f>
        <v>14.72007722007722</v>
      </c>
      <c r="Z46" s="4">
        <f t="shared" ref="Z46" si="17">+(S46/$S$3)*($S$1)</f>
        <v>0.59523809523809523</v>
      </c>
      <c r="AA46" s="4">
        <f>+'Finished goods'!$O$3*'Project La Gallina'!T46</f>
        <v>0.50729991340863434</v>
      </c>
      <c r="AB46" s="4"/>
      <c r="AC46" s="7">
        <f>+V46+W46+X46+Y46+Z46+AA46+AB46</f>
        <v>57.33988410070063</v>
      </c>
    </row>
    <row r="49" spans="1:29" ht="18" x14ac:dyDescent="0.35">
      <c r="D49" s="237" t="s">
        <v>40</v>
      </c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4" t="s">
        <v>32</v>
      </c>
      <c r="S49" s="47">
        <f>+S51/60/7</f>
        <v>1.8809523809523809</v>
      </c>
      <c r="T49" t="s">
        <v>83</v>
      </c>
    </row>
    <row r="50" spans="1:29" x14ac:dyDescent="0.3">
      <c r="D50" s="236" t="s">
        <v>33</v>
      </c>
      <c r="E50" s="236"/>
      <c r="F50" s="236"/>
      <c r="G50" s="236"/>
      <c r="H50" s="236"/>
      <c r="I50" s="236"/>
      <c r="J50" s="236"/>
      <c r="M50" s="236" t="s">
        <v>36</v>
      </c>
      <c r="N50" s="236"/>
      <c r="O50" s="236"/>
      <c r="P50" s="236"/>
      <c r="Q50" s="236"/>
      <c r="V50" s="241" t="s">
        <v>41</v>
      </c>
      <c r="W50" s="241"/>
      <c r="X50" s="241"/>
      <c r="Y50" s="241"/>
      <c r="Z50" s="241"/>
      <c r="AA50" s="241"/>
      <c r="AB50" s="241"/>
      <c r="AC50" s="241"/>
    </row>
    <row r="51" spans="1:29" ht="18" x14ac:dyDescent="0.35">
      <c r="F51" s="225" t="s">
        <v>44</v>
      </c>
      <c r="G51" s="225"/>
      <c r="I51" s="20">
        <f>SUBTOTAL(9,I53:I54)</f>
        <v>0.94610833333333333</v>
      </c>
      <c r="J51" s="20">
        <f>SUBTOTAL(9,J53:J54)</f>
        <v>0.85149750000000002</v>
      </c>
      <c r="K51" s="1">
        <f>+'Finished goods'!$I$3</f>
        <v>2500</v>
      </c>
      <c r="L51" s="1">
        <f>+'Finished goods'!$J$3</f>
        <v>0.9</v>
      </c>
      <c r="M51" s="15">
        <f>+'Finished goods'!$K$3</f>
        <v>0.50772709939119998</v>
      </c>
      <c r="N51" s="15">
        <f>+'Finished goods'!$L$3</f>
        <v>6.7889999999999999E-3</v>
      </c>
      <c r="O51" s="13">
        <f>+'Finished goods'!$M$3</f>
        <v>0.15750000000000003</v>
      </c>
      <c r="P51" s="46">
        <f>+'Finished goods'!$N$3</f>
        <v>5.8880308880308881E-2</v>
      </c>
      <c r="Q51" s="1"/>
      <c r="S51" s="17">
        <f t="shared" ref="S51:AC51" si="18">SUBTOTAL(9,S53:S54)</f>
        <v>790</v>
      </c>
      <c r="T51" s="17">
        <f t="shared" si="18"/>
        <v>9.4610833333333328</v>
      </c>
      <c r="U51" s="17">
        <f t="shared" si="18"/>
        <v>8.5149749999999997</v>
      </c>
      <c r="V51" s="18">
        <f t="shared" si="18"/>
        <v>6.6850734753174663</v>
      </c>
      <c r="W51" s="18">
        <f t="shared" si="18"/>
        <v>5.7808165274999997E-2</v>
      </c>
      <c r="X51" s="18">
        <f t="shared" si="18"/>
        <v>124.42500000000001</v>
      </c>
      <c r="Y51" s="18">
        <f t="shared" si="18"/>
        <v>46.515444015444018</v>
      </c>
      <c r="Z51" s="18">
        <f t="shared" si="18"/>
        <v>1.8809523809523809</v>
      </c>
      <c r="AA51" s="18">
        <f t="shared" si="18"/>
        <v>1.0967410108557529</v>
      </c>
      <c r="AB51" s="18">
        <f t="shared" si="18"/>
        <v>0</v>
      </c>
      <c r="AC51" s="19">
        <f t="shared" si="18"/>
        <v>180.66101904784466</v>
      </c>
    </row>
    <row r="52" spans="1:29" x14ac:dyDescent="0.3">
      <c r="A52" s="1" t="s">
        <v>145</v>
      </c>
      <c r="B52" s="1" t="s">
        <v>30</v>
      </c>
      <c r="C52" s="1" t="s">
        <v>0</v>
      </c>
      <c r="D52" s="1" t="s">
        <v>4</v>
      </c>
      <c r="E52" s="1" t="s">
        <v>5</v>
      </c>
      <c r="F52" s="1" t="s">
        <v>45</v>
      </c>
      <c r="G52" s="1" t="s">
        <v>57</v>
      </c>
      <c r="H52" s="1" t="s">
        <v>6</v>
      </c>
      <c r="I52" s="1" t="s">
        <v>2</v>
      </c>
      <c r="J52" s="1" t="s">
        <v>7</v>
      </c>
      <c r="K52" s="1" t="s">
        <v>31</v>
      </c>
      <c r="L52" s="1" t="s">
        <v>8</v>
      </c>
      <c r="M52" s="1" t="s">
        <v>34</v>
      </c>
      <c r="N52" s="1" t="s">
        <v>35</v>
      </c>
      <c r="O52" s="1" t="s">
        <v>37</v>
      </c>
      <c r="P52" s="1" t="s">
        <v>79</v>
      </c>
      <c r="Q52" s="1" t="s">
        <v>38</v>
      </c>
      <c r="R52" s="1" t="s">
        <v>39</v>
      </c>
      <c r="S52" s="2" t="s">
        <v>43</v>
      </c>
      <c r="T52" s="2" t="s">
        <v>2</v>
      </c>
      <c r="U52" s="2" t="s">
        <v>7</v>
      </c>
      <c r="V52" s="2">
        <f>+'Finished goods'!K52</f>
        <v>0</v>
      </c>
      <c r="W52" s="2">
        <f>+'Finished goods'!L52</f>
        <v>0</v>
      </c>
      <c r="X52" s="2">
        <f>+'Finished goods'!M52</f>
        <v>0</v>
      </c>
      <c r="Y52" s="2">
        <f>+'Finished goods'!N52</f>
        <v>0</v>
      </c>
      <c r="Z52" s="2">
        <f>+'Finished goods'!Q52</f>
        <v>0</v>
      </c>
      <c r="AA52" s="3" t="s">
        <v>111</v>
      </c>
      <c r="AB52" s="3" t="s">
        <v>115</v>
      </c>
      <c r="AC52" s="3" t="s">
        <v>42</v>
      </c>
    </row>
    <row r="53" spans="1:29" x14ac:dyDescent="0.3">
      <c r="A53" s="245" t="s">
        <v>405</v>
      </c>
      <c r="B53" s="21" t="s">
        <v>124</v>
      </c>
      <c r="C53" s="4" t="str">
        <f>+C37</f>
        <v>Oliera1</v>
      </c>
      <c r="D53" s="5">
        <f>VLOOKUP($C53,'Finished goods'!$A$5:$Q$27,2,FALSE)</f>
        <v>2</v>
      </c>
      <c r="E53" s="5">
        <f>VLOOKUP($C53,'Finished goods'!$A$5:$Q$27,3,FALSE)</f>
        <v>1</v>
      </c>
      <c r="F53" s="5">
        <f>VLOOKUP($C53,'Finished goods'!$A$5:$Q$27,4,FALSE)</f>
        <v>0.54</v>
      </c>
      <c r="G53" s="5">
        <f>VLOOKUP($C53,'Finished goods'!$A$5:$Q$27,5,FALSE)</f>
        <v>54</v>
      </c>
      <c r="H53" s="8">
        <f>VLOOKUP($C53,'Finished goods'!$A$5:$Q$27,6,FALSE)</f>
        <v>1.830542E-4</v>
      </c>
      <c r="I53" s="9">
        <f>VLOOKUP($C53,'Finished goods'!$A$5:$Q$27,7,FALSE)</f>
        <v>0.50848388888888885</v>
      </c>
      <c r="J53" s="9">
        <f>VLOOKUP($C53,'Finished goods'!$A$5:$Q$27,8,FALSE)</f>
        <v>0.45763549999999997</v>
      </c>
      <c r="R53" s="23">
        <v>10</v>
      </c>
      <c r="S53" s="6">
        <f>+G53*$R53</f>
        <v>540</v>
      </c>
      <c r="T53" s="6">
        <f>+I53*$R53</f>
        <v>5.0848388888888882</v>
      </c>
      <c r="U53" s="4">
        <f>+J53*$R53</f>
        <v>4.5763549999999995</v>
      </c>
      <c r="V53" s="16">
        <f>+S53*$M$3/'COST DATA'!$D$26</f>
        <v>4.5695438945208</v>
      </c>
      <c r="W53" s="16">
        <f>+U53*$N$3</f>
        <v>3.1068874094999997E-2</v>
      </c>
      <c r="X53" s="27">
        <f>+S53*$O$3</f>
        <v>85.050000000000011</v>
      </c>
      <c r="Y53" s="4">
        <f>+S53*$P$3</f>
        <v>31.795366795366796</v>
      </c>
      <c r="Z53" s="4">
        <f>+(S53/$S$3)*($S$1)</f>
        <v>1.2857142857142856</v>
      </c>
      <c r="AA53" s="4">
        <f>+'Finished goods'!$O$3*'Project La Gallina'!T53</f>
        <v>0.5894410974471187</v>
      </c>
      <c r="AB53" s="4"/>
      <c r="AC53" s="7">
        <f>+V53+W53+X53+Y53+Z53+AA53+AB53</f>
        <v>123.32113494714402</v>
      </c>
    </row>
    <row r="54" spans="1:29" x14ac:dyDescent="0.3">
      <c r="A54" s="246"/>
      <c r="B54" s="21" t="s">
        <v>124</v>
      </c>
      <c r="C54" s="4" t="str">
        <f>+C38</f>
        <v>Piatto spirale</v>
      </c>
      <c r="D54" s="5">
        <f>VLOOKUP($C54,'Finished goods'!$A$5:$Q$27,2,FALSE)</f>
        <v>4</v>
      </c>
      <c r="E54" s="5">
        <f>VLOOKUP($C54,'Finished goods'!$A$5:$Q$27,3,FALSE)</f>
        <v>5</v>
      </c>
      <c r="F54" s="5">
        <f>VLOOKUP($C54,'Finished goods'!$A$5:$Q$27,4,FALSE)</f>
        <v>0.25</v>
      </c>
      <c r="G54" s="5">
        <f>VLOOKUP($C54,'Finished goods'!$A$5:$Q$27,5,FALSE)</f>
        <v>25</v>
      </c>
      <c r="H54" s="8">
        <f>VLOOKUP($C54,'Finished goods'!$A$5:$Q$27,6,FALSE)</f>
        <v>1.575448E-4</v>
      </c>
      <c r="I54" s="9">
        <f>VLOOKUP($C54,'Finished goods'!$A$5:$Q$27,7,FALSE)</f>
        <v>0.43762444444444443</v>
      </c>
      <c r="J54" s="9">
        <f>VLOOKUP($C54,'Finished goods'!$A$5:$Q$27,8,FALSE)</f>
        <v>0.39386199999999999</v>
      </c>
      <c r="R54" s="23">
        <v>10</v>
      </c>
      <c r="S54" s="6">
        <f>+G54*$R54</f>
        <v>250</v>
      </c>
      <c r="T54" s="6">
        <f>+I54*$R54</f>
        <v>4.3762444444444446</v>
      </c>
      <c r="U54" s="4">
        <f>+J54*$R54</f>
        <v>3.9386199999999998</v>
      </c>
      <c r="V54" s="16">
        <f>+S54*$M$3/'COST DATA'!$D$26</f>
        <v>2.1155295807966668</v>
      </c>
      <c r="W54" s="16">
        <f>+U54*$N$3</f>
        <v>2.6739291179999999E-2</v>
      </c>
      <c r="X54" s="27">
        <f>+S54*$O$3</f>
        <v>39.375000000000007</v>
      </c>
      <c r="Y54" s="4">
        <f t="shared" ref="Y54" si="19">+S54*$P$3</f>
        <v>14.72007722007722</v>
      </c>
      <c r="Z54" s="4">
        <f t="shared" ref="Z54" si="20">+(S54/$S$3)*($S$1)</f>
        <v>0.59523809523809523</v>
      </c>
      <c r="AA54" s="4">
        <f>+'Finished goods'!$O$3*'Project La Gallina'!T54</f>
        <v>0.50729991340863434</v>
      </c>
      <c r="AB54" s="4"/>
      <c r="AC54" s="7">
        <f>+V54+W54+X54+Y54+Z54+AA54+AB54</f>
        <v>57.33988410070063</v>
      </c>
    </row>
    <row r="57" spans="1:29" ht="18" x14ac:dyDescent="0.35">
      <c r="D57" s="237" t="s">
        <v>40</v>
      </c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4" t="s">
        <v>32</v>
      </c>
      <c r="S57" s="47">
        <f>+S59/60/7</f>
        <v>1.8809523809523809</v>
      </c>
      <c r="T57" t="s">
        <v>83</v>
      </c>
    </row>
    <row r="58" spans="1:29" x14ac:dyDescent="0.3">
      <c r="D58" s="236" t="s">
        <v>33</v>
      </c>
      <c r="E58" s="236"/>
      <c r="F58" s="236"/>
      <c r="G58" s="236"/>
      <c r="H58" s="236"/>
      <c r="I58" s="236"/>
      <c r="J58" s="236"/>
      <c r="M58" s="236" t="s">
        <v>36</v>
      </c>
      <c r="N58" s="236"/>
      <c r="O58" s="236"/>
      <c r="P58" s="236"/>
      <c r="Q58" s="236"/>
      <c r="V58" s="241" t="s">
        <v>41</v>
      </c>
      <c r="W58" s="241"/>
      <c r="X58" s="241"/>
      <c r="Y58" s="241"/>
      <c r="Z58" s="241"/>
      <c r="AA58" s="241"/>
      <c r="AB58" s="241"/>
      <c r="AC58" s="241"/>
    </row>
    <row r="59" spans="1:29" ht="18" x14ac:dyDescent="0.35">
      <c r="F59" s="225" t="s">
        <v>44</v>
      </c>
      <c r="G59" s="225"/>
      <c r="I59" s="20">
        <f>SUBTOTAL(9,I61:I62)</f>
        <v>0.94610833333333333</v>
      </c>
      <c r="J59" s="20">
        <f>SUBTOTAL(9,J61:J62)</f>
        <v>0.85149750000000002</v>
      </c>
      <c r="K59" s="1">
        <f>+'Finished goods'!$I$3</f>
        <v>2500</v>
      </c>
      <c r="L59" s="1">
        <f>+'Finished goods'!$J$3</f>
        <v>0.9</v>
      </c>
      <c r="M59" s="15">
        <f>+'Finished goods'!$K$3</f>
        <v>0.50772709939119998</v>
      </c>
      <c r="N59" s="15">
        <f>+'Finished goods'!$L$3</f>
        <v>6.7889999999999999E-3</v>
      </c>
      <c r="O59" s="13">
        <f>+'Finished goods'!$M$3</f>
        <v>0.15750000000000003</v>
      </c>
      <c r="P59" s="46">
        <f>+'Finished goods'!$N$3</f>
        <v>5.8880308880308881E-2</v>
      </c>
      <c r="Q59" s="1"/>
      <c r="S59" s="17">
        <f t="shared" ref="S59:AC59" si="21">SUBTOTAL(9,S61:S62)</f>
        <v>790</v>
      </c>
      <c r="T59" s="17">
        <f t="shared" si="21"/>
        <v>9.4610833333333328</v>
      </c>
      <c r="U59" s="17">
        <f t="shared" si="21"/>
        <v>8.5149749999999997</v>
      </c>
      <c r="V59" s="18">
        <f t="shared" si="21"/>
        <v>6.6850734753174663</v>
      </c>
      <c r="W59" s="18">
        <f t="shared" si="21"/>
        <v>5.7808165274999997E-2</v>
      </c>
      <c r="X59" s="18">
        <f t="shared" si="21"/>
        <v>124.42500000000001</v>
      </c>
      <c r="Y59" s="18">
        <f t="shared" si="21"/>
        <v>46.515444015444018</v>
      </c>
      <c r="Z59" s="18">
        <f t="shared" si="21"/>
        <v>1.8809523809523809</v>
      </c>
      <c r="AA59" s="18">
        <f t="shared" si="21"/>
        <v>1.0967410108557529</v>
      </c>
      <c r="AB59" s="18">
        <f t="shared" si="21"/>
        <v>0</v>
      </c>
      <c r="AC59" s="19">
        <f t="shared" si="21"/>
        <v>180.66101904784466</v>
      </c>
    </row>
    <row r="60" spans="1:29" x14ac:dyDescent="0.3">
      <c r="A60" s="1" t="s">
        <v>145</v>
      </c>
      <c r="B60" s="1" t="s">
        <v>30</v>
      </c>
      <c r="C60" s="1" t="s">
        <v>0</v>
      </c>
      <c r="D60" s="1" t="s">
        <v>4</v>
      </c>
      <c r="E60" s="1" t="s">
        <v>5</v>
      </c>
      <c r="F60" s="1" t="s">
        <v>45</v>
      </c>
      <c r="G60" s="1" t="s">
        <v>57</v>
      </c>
      <c r="H60" s="1" t="s">
        <v>6</v>
      </c>
      <c r="I60" s="1" t="s">
        <v>2</v>
      </c>
      <c r="J60" s="1" t="s">
        <v>7</v>
      </c>
      <c r="K60" s="1" t="s">
        <v>31</v>
      </c>
      <c r="L60" s="1" t="s">
        <v>8</v>
      </c>
      <c r="M60" s="1" t="s">
        <v>34</v>
      </c>
      <c r="N60" s="1" t="s">
        <v>35</v>
      </c>
      <c r="O60" s="1" t="s">
        <v>37</v>
      </c>
      <c r="P60" s="1" t="s">
        <v>79</v>
      </c>
      <c r="Q60" s="1" t="s">
        <v>38</v>
      </c>
      <c r="R60" s="1" t="s">
        <v>39</v>
      </c>
      <c r="S60" s="2" t="s">
        <v>43</v>
      </c>
      <c r="T60" s="2" t="s">
        <v>2</v>
      </c>
      <c r="U60" s="2" t="s">
        <v>7</v>
      </c>
      <c r="V60" s="2">
        <f>+'Finished goods'!K60</f>
        <v>0</v>
      </c>
      <c r="W60" s="2">
        <f>+'Finished goods'!L60</f>
        <v>0</v>
      </c>
      <c r="X60" s="2">
        <f>+'Finished goods'!M60</f>
        <v>0</v>
      </c>
      <c r="Y60" s="2">
        <f>+'Finished goods'!N60</f>
        <v>0</v>
      </c>
      <c r="Z60" s="2">
        <f>+'Finished goods'!Q60</f>
        <v>0</v>
      </c>
      <c r="AA60" s="3" t="s">
        <v>111</v>
      </c>
      <c r="AB60" s="3" t="s">
        <v>115</v>
      </c>
      <c r="AC60" s="3" t="s">
        <v>42</v>
      </c>
    </row>
    <row r="61" spans="1:29" x14ac:dyDescent="0.3">
      <c r="A61" s="245" t="s">
        <v>406</v>
      </c>
      <c r="B61" s="21" t="s">
        <v>124</v>
      </c>
      <c r="C61" s="4" t="str">
        <f>+C53</f>
        <v>Oliera1</v>
      </c>
      <c r="D61" s="5">
        <f>VLOOKUP($C61,'Finished goods'!$A$5:$Q$27,2,FALSE)</f>
        <v>2</v>
      </c>
      <c r="E61" s="5">
        <f>VLOOKUP($C61,'Finished goods'!$A$5:$Q$27,3,FALSE)</f>
        <v>1</v>
      </c>
      <c r="F61" s="5">
        <f>VLOOKUP($C61,'Finished goods'!$A$5:$Q$27,4,FALSE)</f>
        <v>0.54</v>
      </c>
      <c r="G61" s="5">
        <f>VLOOKUP($C61,'Finished goods'!$A$5:$Q$27,5,FALSE)</f>
        <v>54</v>
      </c>
      <c r="H61" s="8">
        <f>VLOOKUP($C61,'Finished goods'!$A$5:$Q$27,6,FALSE)</f>
        <v>1.830542E-4</v>
      </c>
      <c r="I61" s="9">
        <f>VLOOKUP($C61,'Finished goods'!$A$5:$Q$27,7,FALSE)</f>
        <v>0.50848388888888885</v>
      </c>
      <c r="J61" s="9">
        <f>VLOOKUP($C61,'Finished goods'!$A$5:$Q$27,8,FALSE)</f>
        <v>0.45763549999999997</v>
      </c>
      <c r="R61" s="23">
        <v>10</v>
      </c>
      <c r="S61" s="6">
        <f>+G61*$R61</f>
        <v>540</v>
      </c>
      <c r="T61" s="6">
        <f>+I61*$R61</f>
        <v>5.0848388888888882</v>
      </c>
      <c r="U61" s="4">
        <f>+J61*$R61</f>
        <v>4.5763549999999995</v>
      </c>
      <c r="V61" s="16">
        <f>+S61*$M$3/'COST DATA'!$D$26</f>
        <v>4.5695438945208</v>
      </c>
      <c r="W61" s="16">
        <f>+U61*$N$3</f>
        <v>3.1068874094999997E-2</v>
      </c>
      <c r="X61" s="27">
        <f>+S61*$O$3</f>
        <v>85.050000000000011</v>
      </c>
      <c r="Y61" s="4">
        <f>+S61*$P$3</f>
        <v>31.795366795366796</v>
      </c>
      <c r="Z61" s="4">
        <f>+(S61/$S$3)*($S$1)</f>
        <v>1.2857142857142856</v>
      </c>
      <c r="AA61" s="4">
        <f>+'Finished goods'!$O$3*'Project La Gallina'!T61</f>
        <v>0.5894410974471187</v>
      </c>
      <c r="AB61" s="4"/>
      <c r="AC61" s="7">
        <f>+V61+W61+X61+Y61+Z61+AA61+AB61</f>
        <v>123.32113494714402</v>
      </c>
    </row>
    <row r="62" spans="1:29" x14ac:dyDescent="0.3">
      <c r="A62" s="246"/>
      <c r="B62" s="21" t="s">
        <v>124</v>
      </c>
      <c r="C62" s="4" t="str">
        <f>+C54</f>
        <v>Piatto spirale</v>
      </c>
      <c r="D62" s="5">
        <f>VLOOKUP($C62,'Finished goods'!$A$5:$Q$27,2,FALSE)</f>
        <v>4</v>
      </c>
      <c r="E62" s="5">
        <f>VLOOKUP($C62,'Finished goods'!$A$5:$Q$27,3,FALSE)</f>
        <v>5</v>
      </c>
      <c r="F62" s="5">
        <f>VLOOKUP($C62,'Finished goods'!$A$5:$Q$27,4,FALSE)</f>
        <v>0.25</v>
      </c>
      <c r="G62" s="5">
        <f>VLOOKUP($C62,'Finished goods'!$A$5:$Q$27,5,FALSE)</f>
        <v>25</v>
      </c>
      <c r="H62" s="8">
        <f>VLOOKUP($C62,'Finished goods'!$A$5:$Q$27,6,FALSE)</f>
        <v>1.575448E-4</v>
      </c>
      <c r="I62" s="9">
        <f>VLOOKUP($C62,'Finished goods'!$A$5:$Q$27,7,FALSE)</f>
        <v>0.43762444444444443</v>
      </c>
      <c r="J62" s="9">
        <f>VLOOKUP($C62,'Finished goods'!$A$5:$Q$27,8,FALSE)</f>
        <v>0.39386199999999999</v>
      </c>
      <c r="R62" s="23">
        <v>10</v>
      </c>
      <c r="S62" s="6">
        <f>+G62*$R62</f>
        <v>250</v>
      </c>
      <c r="T62" s="6">
        <f>+I62*$R62</f>
        <v>4.3762444444444446</v>
      </c>
      <c r="U62" s="4">
        <f>+J62*$R62</f>
        <v>3.9386199999999998</v>
      </c>
      <c r="V62" s="16">
        <f>+S62*$M$3/'COST DATA'!$D$26</f>
        <v>2.1155295807966668</v>
      </c>
      <c r="W62" s="16">
        <f>+U62*$N$3</f>
        <v>2.6739291179999999E-2</v>
      </c>
      <c r="X62" s="27">
        <f>+S62*$O$3</f>
        <v>39.375000000000007</v>
      </c>
      <c r="Y62" s="4">
        <f t="shared" ref="Y62" si="22">+S62*$P$3</f>
        <v>14.72007722007722</v>
      </c>
      <c r="Z62" s="4">
        <f t="shared" ref="Z62" si="23">+(S62/$S$3)*($S$1)</f>
        <v>0.59523809523809523</v>
      </c>
      <c r="AA62" s="4">
        <f>+'Finished goods'!$O$3*'Project La Gallina'!T62</f>
        <v>0.50729991340863434</v>
      </c>
      <c r="AB62" s="4"/>
      <c r="AC62" s="7">
        <f>+V62+W62+X62+Y62+Z62+AA62+AB62</f>
        <v>57.33988410070063</v>
      </c>
    </row>
    <row r="65" spans="1:29" ht="18" x14ac:dyDescent="0.35">
      <c r="D65" s="237" t="s">
        <v>40</v>
      </c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4" t="s">
        <v>32</v>
      </c>
      <c r="S65" s="47">
        <f>+S67/60/7</f>
        <v>1.8809523809523809</v>
      </c>
      <c r="T65" t="s">
        <v>83</v>
      </c>
    </row>
    <row r="66" spans="1:29" x14ac:dyDescent="0.3">
      <c r="D66" s="236" t="s">
        <v>33</v>
      </c>
      <c r="E66" s="236"/>
      <c r="F66" s="236"/>
      <c r="G66" s="236"/>
      <c r="H66" s="236"/>
      <c r="I66" s="236"/>
      <c r="J66" s="236"/>
      <c r="M66" s="236" t="s">
        <v>36</v>
      </c>
      <c r="N66" s="236"/>
      <c r="O66" s="236"/>
      <c r="P66" s="236"/>
      <c r="Q66" s="236"/>
      <c r="V66" s="241" t="s">
        <v>41</v>
      </c>
      <c r="W66" s="241"/>
      <c r="X66" s="241"/>
      <c r="Y66" s="241"/>
      <c r="Z66" s="241"/>
      <c r="AA66" s="241"/>
      <c r="AB66" s="241"/>
      <c r="AC66" s="241"/>
    </row>
    <row r="67" spans="1:29" ht="18" x14ac:dyDescent="0.35">
      <c r="F67" s="225" t="s">
        <v>44</v>
      </c>
      <c r="G67" s="225"/>
      <c r="I67" s="20">
        <f>SUBTOTAL(9,I69:I70)</f>
        <v>0.94610833333333333</v>
      </c>
      <c r="J67" s="20">
        <f>SUBTOTAL(9,J69:J70)</f>
        <v>0.85149750000000002</v>
      </c>
      <c r="K67" s="1">
        <f>+'Finished goods'!$I$3</f>
        <v>2500</v>
      </c>
      <c r="L67" s="1">
        <f>+'Finished goods'!$J$3</f>
        <v>0.9</v>
      </c>
      <c r="M67" s="15">
        <f>+'Finished goods'!$K$3</f>
        <v>0.50772709939119998</v>
      </c>
      <c r="N67" s="15">
        <f>+'Finished goods'!$L$3</f>
        <v>6.7889999999999999E-3</v>
      </c>
      <c r="O67" s="13">
        <f>+'Finished goods'!$M$3</f>
        <v>0.15750000000000003</v>
      </c>
      <c r="P67" s="46">
        <f>+'Finished goods'!$N$3</f>
        <v>5.8880308880308881E-2</v>
      </c>
      <c r="Q67" s="1"/>
      <c r="S67" s="17">
        <f t="shared" ref="S67:AC67" si="24">SUBTOTAL(9,S69:S70)</f>
        <v>790</v>
      </c>
      <c r="T67" s="17">
        <f t="shared" si="24"/>
        <v>9.4610833333333328</v>
      </c>
      <c r="U67" s="17">
        <f t="shared" si="24"/>
        <v>8.5149749999999997</v>
      </c>
      <c r="V67" s="18">
        <f t="shared" si="24"/>
        <v>6.6850734753174663</v>
      </c>
      <c r="W67" s="18">
        <f t="shared" si="24"/>
        <v>5.7808165274999997E-2</v>
      </c>
      <c r="X67" s="18">
        <f t="shared" si="24"/>
        <v>124.42500000000001</v>
      </c>
      <c r="Y67" s="18">
        <f t="shared" si="24"/>
        <v>46.515444015444018</v>
      </c>
      <c r="Z67" s="18">
        <f t="shared" si="24"/>
        <v>1.8809523809523809</v>
      </c>
      <c r="AA67" s="18">
        <f t="shared" si="24"/>
        <v>1.0967410108557529</v>
      </c>
      <c r="AB67" s="18">
        <f t="shared" si="24"/>
        <v>0</v>
      </c>
      <c r="AC67" s="19">
        <f t="shared" si="24"/>
        <v>180.66101904784466</v>
      </c>
    </row>
    <row r="68" spans="1:29" x14ac:dyDescent="0.3">
      <c r="A68" s="1" t="s">
        <v>145</v>
      </c>
      <c r="B68" s="1" t="s">
        <v>30</v>
      </c>
      <c r="C68" s="1" t="s">
        <v>0</v>
      </c>
      <c r="D68" s="1" t="s">
        <v>4</v>
      </c>
      <c r="E68" s="1" t="s">
        <v>5</v>
      </c>
      <c r="F68" s="1" t="s">
        <v>45</v>
      </c>
      <c r="G68" s="1" t="s">
        <v>57</v>
      </c>
      <c r="H68" s="1" t="s">
        <v>6</v>
      </c>
      <c r="I68" s="1" t="s">
        <v>2</v>
      </c>
      <c r="J68" s="1" t="s">
        <v>7</v>
      </c>
      <c r="K68" s="1" t="s">
        <v>31</v>
      </c>
      <c r="L68" s="1" t="s">
        <v>8</v>
      </c>
      <c r="M68" s="1" t="s">
        <v>34</v>
      </c>
      <c r="N68" s="1" t="s">
        <v>35</v>
      </c>
      <c r="O68" s="1" t="s">
        <v>37</v>
      </c>
      <c r="P68" s="1" t="s">
        <v>79</v>
      </c>
      <c r="Q68" s="1" t="s">
        <v>38</v>
      </c>
      <c r="R68" s="1" t="s">
        <v>39</v>
      </c>
      <c r="S68" s="2" t="s">
        <v>43</v>
      </c>
      <c r="T68" s="2" t="s">
        <v>2</v>
      </c>
      <c r="U68" s="2" t="s">
        <v>7</v>
      </c>
      <c r="V68" s="2">
        <f>+'Finished goods'!K68</f>
        <v>0</v>
      </c>
      <c r="W68" s="2">
        <f>+'Finished goods'!L68</f>
        <v>0</v>
      </c>
      <c r="X68" s="2">
        <f>+'Finished goods'!M68</f>
        <v>0</v>
      </c>
      <c r="Y68" s="2">
        <f>+'Finished goods'!N68</f>
        <v>0</v>
      </c>
      <c r="Z68" s="2">
        <f>+'Finished goods'!Q68</f>
        <v>0</v>
      </c>
      <c r="AA68" s="3" t="s">
        <v>111</v>
      </c>
      <c r="AB68" s="3" t="s">
        <v>115</v>
      </c>
      <c r="AC68" s="3" t="s">
        <v>42</v>
      </c>
    </row>
    <row r="69" spans="1:29" x14ac:dyDescent="0.3">
      <c r="A69" s="245" t="s">
        <v>407</v>
      </c>
      <c r="B69" s="21" t="s">
        <v>124</v>
      </c>
      <c r="C69" s="4" t="str">
        <f>+C5</f>
        <v>Oliera1</v>
      </c>
      <c r="D69" s="5">
        <f>VLOOKUP($C69,'Finished goods'!$A$5:$Q$27,2,FALSE)</f>
        <v>2</v>
      </c>
      <c r="E69" s="5">
        <f>VLOOKUP($C69,'Finished goods'!$A$5:$Q$27,3,FALSE)</f>
        <v>1</v>
      </c>
      <c r="F69" s="5">
        <f>VLOOKUP($C69,'Finished goods'!$A$5:$Q$27,4,FALSE)</f>
        <v>0.54</v>
      </c>
      <c r="G69" s="5">
        <f>VLOOKUP($C69,'Finished goods'!$A$5:$Q$27,5,FALSE)</f>
        <v>54</v>
      </c>
      <c r="H69" s="8">
        <f>VLOOKUP($C69,'Finished goods'!$A$5:$Q$27,6,FALSE)</f>
        <v>1.830542E-4</v>
      </c>
      <c r="I69" s="9">
        <f>VLOOKUP($C69,'Finished goods'!$A$5:$Q$27,7,FALSE)</f>
        <v>0.50848388888888885</v>
      </c>
      <c r="J69" s="9">
        <f>VLOOKUP($C69,'Finished goods'!$A$5:$Q$27,8,FALSE)</f>
        <v>0.45763549999999997</v>
      </c>
      <c r="R69" s="23">
        <v>10</v>
      </c>
      <c r="S69" s="6">
        <f>+G69*$R69</f>
        <v>540</v>
      </c>
      <c r="T69" s="6">
        <f>+I69*$R69</f>
        <v>5.0848388888888882</v>
      </c>
      <c r="U69" s="4">
        <f>+J69*$R69</f>
        <v>4.5763549999999995</v>
      </c>
      <c r="V69" s="16">
        <f>+S69*$M$3/'COST DATA'!$D$26</f>
        <v>4.5695438945208</v>
      </c>
      <c r="W69" s="16">
        <f>+U69*$N$3</f>
        <v>3.1068874094999997E-2</v>
      </c>
      <c r="X69" s="27">
        <f>+S69*$O$3</f>
        <v>85.050000000000011</v>
      </c>
      <c r="Y69" s="4">
        <f>+S69*$P$3</f>
        <v>31.795366795366796</v>
      </c>
      <c r="Z69" s="4">
        <f>+(S69/$S$3)*($S$1)</f>
        <v>1.2857142857142856</v>
      </c>
      <c r="AA69" s="4">
        <f>+'Finished goods'!$O$3*'Project La Gallina'!T69</f>
        <v>0.5894410974471187</v>
      </c>
      <c r="AB69" s="4"/>
      <c r="AC69" s="7">
        <f>+V69+W69+X69+Y69+Z69+AA69+AB69</f>
        <v>123.32113494714402</v>
      </c>
    </row>
    <row r="70" spans="1:29" x14ac:dyDescent="0.3">
      <c r="A70" s="246"/>
      <c r="B70" s="21" t="s">
        <v>124</v>
      </c>
      <c r="C70" s="4" t="str">
        <f>+C6</f>
        <v>Piatto spirale</v>
      </c>
      <c r="D70" s="5">
        <f>VLOOKUP($C70,'Finished goods'!$A$5:$Q$27,2,FALSE)</f>
        <v>4</v>
      </c>
      <c r="E70" s="5">
        <f>VLOOKUP($C70,'Finished goods'!$A$5:$Q$27,3,FALSE)</f>
        <v>5</v>
      </c>
      <c r="F70" s="5">
        <f>VLOOKUP($C70,'Finished goods'!$A$5:$Q$27,4,FALSE)</f>
        <v>0.25</v>
      </c>
      <c r="G70" s="5">
        <f>VLOOKUP($C70,'Finished goods'!$A$5:$Q$27,5,FALSE)</f>
        <v>25</v>
      </c>
      <c r="H70" s="8">
        <f>VLOOKUP($C70,'Finished goods'!$A$5:$Q$27,6,FALSE)</f>
        <v>1.575448E-4</v>
      </c>
      <c r="I70" s="9">
        <f>VLOOKUP($C70,'Finished goods'!$A$5:$Q$27,7,FALSE)</f>
        <v>0.43762444444444443</v>
      </c>
      <c r="J70" s="9">
        <f>VLOOKUP($C70,'Finished goods'!$A$5:$Q$27,8,FALSE)</f>
        <v>0.39386199999999999</v>
      </c>
      <c r="R70" s="23">
        <v>10</v>
      </c>
      <c r="S70" s="6">
        <f>+G70*$R70</f>
        <v>250</v>
      </c>
      <c r="T70" s="6">
        <f>+I70*$R70</f>
        <v>4.3762444444444446</v>
      </c>
      <c r="U70" s="4">
        <f>+J70*$R70</f>
        <v>3.9386199999999998</v>
      </c>
      <c r="V70" s="16">
        <f>+S70*$M$3/'COST DATA'!$D$26</f>
        <v>2.1155295807966668</v>
      </c>
      <c r="W70" s="16">
        <f>+U70*$N$3</f>
        <v>2.6739291179999999E-2</v>
      </c>
      <c r="X70" s="27">
        <f>+S70*$O$3</f>
        <v>39.375000000000007</v>
      </c>
      <c r="Y70" s="4">
        <f t="shared" ref="Y70" si="25">+S70*$P$3</f>
        <v>14.72007722007722</v>
      </c>
      <c r="Z70" s="4">
        <f t="shared" ref="Z70" si="26">+(S70/$S$3)*($S$1)</f>
        <v>0.59523809523809523</v>
      </c>
      <c r="AA70" s="4">
        <f>+'Finished goods'!$O$3*'Project La Gallina'!T70</f>
        <v>0.50729991340863434</v>
      </c>
      <c r="AB70" s="4"/>
      <c r="AC70" s="7">
        <f>+V70+W70+X70+Y70+Z70+AA70+AB70</f>
        <v>57.33988410070063</v>
      </c>
    </row>
    <row r="73" spans="1:29" ht="18" x14ac:dyDescent="0.35">
      <c r="D73" s="237" t="s">
        <v>40</v>
      </c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4" t="s">
        <v>32</v>
      </c>
      <c r="S73" s="47">
        <f>+S75/60/7</f>
        <v>1.8809523809523809</v>
      </c>
      <c r="T73" t="s">
        <v>83</v>
      </c>
    </row>
    <row r="74" spans="1:29" x14ac:dyDescent="0.3">
      <c r="D74" s="236" t="s">
        <v>33</v>
      </c>
      <c r="E74" s="236"/>
      <c r="F74" s="236"/>
      <c r="G74" s="236"/>
      <c r="H74" s="236"/>
      <c r="I74" s="236"/>
      <c r="J74" s="236"/>
      <c r="M74" s="236" t="s">
        <v>36</v>
      </c>
      <c r="N74" s="236"/>
      <c r="O74" s="236"/>
      <c r="P74" s="236"/>
      <c r="Q74" s="236"/>
      <c r="V74" s="241" t="s">
        <v>41</v>
      </c>
      <c r="W74" s="241"/>
      <c r="X74" s="241"/>
      <c r="Y74" s="241"/>
      <c r="Z74" s="241"/>
      <c r="AA74" s="241"/>
      <c r="AB74" s="241"/>
      <c r="AC74" s="241"/>
    </row>
    <row r="75" spans="1:29" ht="18" x14ac:dyDescent="0.35">
      <c r="F75" s="225" t="s">
        <v>44</v>
      </c>
      <c r="G75" s="225"/>
      <c r="I75" s="20">
        <f>SUBTOTAL(9,I77:I78)</f>
        <v>0.94610833333333333</v>
      </c>
      <c r="J75" s="20">
        <f>SUBTOTAL(9,J77:J78)</f>
        <v>0.85149750000000002</v>
      </c>
      <c r="K75" s="1">
        <f>+'Finished goods'!$I$3</f>
        <v>2500</v>
      </c>
      <c r="L75" s="1">
        <f>+'Finished goods'!$J$3</f>
        <v>0.9</v>
      </c>
      <c r="M75" s="15">
        <f>+'Finished goods'!$K$3</f>
        <v>0.50772709939119998</v>
      </c>
      <c r="N75" s="15">
        <f>+'Finished goods'!$L$3</f>
        <v>6.7889999999999999E-3</v>
      </c>
      <c r="O75" s="13">
        <f>+'Finished goods'!$M$3</f>
        <v>0.15750000000000003</v>
      </c>
      <c r="P75" s="46">
        <f>+'Finished goods'!$N$3</f>
        <v>5.8880308880308881E-2</v>
      </c>
      <c r="Q75" s="1"/>
      <c r="S75" s="17">
        <f t="shared" ref="S75:AC75" si="27">SUBTOTAL(9,S77:S78)</f>
        <v>790</v>
      </c>
      <c r="T75" s="17">
        <f t="shared" si="27"/>
        <v>9.4610833333333328</v>
      </c>
      <c r="U75" s="17">
        <f t="shared" si="27"/>
        <v>8.5149749999999997</v>
      </c>
      <c r="V75" s="18">
        <f t="shared" si="27"/>
        <v>6.6850734753174663</v>
      </c>
      <c r="W75" s="18">
        <f t="shared" si="27"/>
        <v>5.7808165274999997E-2</v>
      </c>
      <c r="X75" s="18">
        <f t="shared" si="27"/>
        <v>124.42500000000001</v>
      </c>
      <c r="Y75" s="18">
        <f t="shared" si="27"/>
        <v>46.515444015444018</v>
      </c>
      <c r="Z75" s="18">
        <f t="shared" si="27"/>
        <v>1.8809523809523809</v>
      </c>
      <c r="AA75" s="18">
        <f t="shared" si="27"/>
        <v>1.0967410108557529</v>
      </c>
      <c r="AB75" s="18">
        <f t="shared" si="27"/>
        <v>0</v>
      </c>
      <c r="AC75" s="19">
        <f t="shared" si="27"/>
        <v>180.66101904784466</v>
      </c>
    </row>
    <row r="76" spans="1:29" x14ac:dyDescent="0.3">
      <c r="A76" s="1" t="s">
        <v>145</v>
      </c>
      <c r="B76" s="1" t="s">
        <v>30</v>
      </c>
      <c r="C76" s="1" t="s">
        <v>0</v>
      </c>
      <c r="D76" s="1" t="s">
        <v>4</v>
      </c>
      <c r="E76" s="1" t="s">
        <v>5</v>
      </c>
      <c r="F76" s="1" t="s">
        <v>45</v>
      </c>
      <c r="G76" s="1" t="s">
        <v>57</v>
      </c>
      <c r="H76" s="1" t="s">
        <v>6</v>
      </c>
      <c r="I76" s="1" t="s">
        <v>2</v>
      </c>
      <c r="J76" s="1" t="s">
        <v>7</v>
      </c>
      <c r="K76" s="1" t="s">
        <v>31</v>
      </c>
      <c r="L76" s="1" t="s">
        <v>8</v>
      </c>
      <c r="M76" s="1" t="s">
        <v>34</v>
      </c>
      <c r="N76" s="1" t="s">
        <v>35</v>
      </c>
      <c r="O76" s="1" t="s">
        <v>37</v>
      </c>
      <c r="P76" s="1" t="s">
        <v>79</v>
      </c>
      <c r="Q76" s="1" t="s">
        <v>38</v>
      </c>
      <c r="R76" s="1" t="s">
        <v>39</v>
      </c>
      <c r="S76" s="2" t="s">
        <v>43</v>
      </c>
      <c r="T76" s="2" t="s">
        <v>2</v>
      </c>
      <c r="U76" s="2" t="s">
        <v>7</v>
      </c>
      <c r="V76" s="2">
        <f>+'Finished goods'!K76</f>
        <v>0</v>
      </c>
      <c r="W76" s="2">
        <f>+'Finished goods'!L76</f>
        <v>0</v>
      </c>
      <c r="X76" s="2">
        <f>+'Finished goods'!M76</f>
        <v>0</v>
      </c>
      <c r="Y76" s="2">
        <f>+'Finished goods'!N76</f>
        <v>0</v>
      </c>
      <c r="Z76" s="2">
        <f>+'Finished goods'!Q76</f>
        <v>0</v>
      </c>
      <c r="AA76" s="3" t="s">
        <v>111</v>
      </c>
      <c r="AB76" s="3" t="s">
        <v>115</v>
      </c>
      <c r="AC76" s="3" t="s">
        <v>42</v>
      </c>
    </row>
    <row r="77" spans="1:29" x14ac:dyDescent="0.3">
      <c r="A77" s="245" t="s">
        <v>408</v>
      </c>
      <c r="B77" s="21" t="s">
        <v>124</v>
      </c>
      <c r="C77" s="4" t="str">
        <f>+C69</f>
        <v>Oliera1</v>
      </c>
      <c r="D77" s="5">
        <f>VLOOKUP($C77,'Finished goods'!$A$5:$Q$27,2,FALSE)</f>
        <v>2</v>
      </c>
      <c r="E77" s="5">
        <f>VLOOKUP($C77,'Finished goods'!$A$5:$Q$27,3,FALSE)</f>
        <v>1</v>
      </c>
      <c r="F77" s="5">
        <f>VLOOKUP($C77,'Finished goods'!$A$5:$Q$27,4,FALSE)</f>
        <v>0.54</v>
      </c>
      <c r="G77" s="5">
        <f>VLOOKUP($C77,'Finished goods'!$A$5:$Q$27,5,FALSE)</f>
        <v>54</v>
      </c>
      <c r="H77" s="8">
        <f>VLOOKUP($C77,'Finished goods'!$A$5:$Q$27,6,FALSE)</f>
        <v>1.830542E-4</v>
      </c>
      <c r="I77" s="9">
        <f>VLOOKUP($C77,'Finished goods'!$A$5:$Q$27,7,FALSE)</f>
        <v>0.50848388888888885</v>
      </c>
      <c r="J77" s="9">
        <f>VLOOKUP($C77,'Finished goods'!$A$5:$Q$27,8,FALSE)</f>
        <v>0.45763549999999997</v>
      </c>
      <c r="R77" s="23">
        <v>10</v>
      </c>
      <c r="S77" s="6">
        <f>+G77*$R77</f>
        <v>540</v>
      </c>
      <c r="T77" s="6">
        <f>+I77*$R77</f>
        <v>5.0848388888888882</v>
      </c>
      <c r="U77" s="4">
        <f>+J77*$R77</f>
        <v>4.5763549999999995</v>
      </c>
      <c r="V77" s="16">
        <f>+S77*$M$3/'COST DATA'!$D$26</f>
        <v>4.5695438945208</v>
      </c>
      <c r="W77" s="16">
        <f>+U77*$N$3</f>
        <v>3.1068874094999997E-2</v>
      </c>
      <c r="X77" s="27">
        <f>+S77*$O$3</f>
        <v>85.050000000000011</v>
      </c>
      <c r="Y77" s="4">
        <f>+S77*$P$3</f>
        <v>31.795366795366796</v>
      </c>
      <c r="Z77" s="4">
        <f>+(S77/$S$3)*($S$1)</f>
        <v>1.2857142857142856</v>
      </c>
      <c r="AA77" s="4">
        <f>+'Finished goods'!$O$3*'Project La Gallina'!T77</f>
        <v>0.5894410974471187</v>
      </c>
      <c r="AB77" s="4"/>
      <c r="AC77" s="7">
        <f>+V77+W77+X77+Y77+Z77+AA77+AB77</f>
        <v>123.32113494714402</v>
      </c>
    </row>
    <row r="78" spans="1:29" x14ac:dyDescent="0.3">
      <c r="A78" s="246"/>
      <c r="B78" s="21" t="s">
        <v>124</v>
      </c>
      <c r="C78" s="4" t="str">
        <f>+C70</f>
        <v>Piatto spirale</v>
      </c>
      <c r="D78" s="5">
        <f>VLOOKUP($C78,'Finished goods'!$A$5:$Q$27,2,FALSE)</f>
        <v>4</v>
      </c>
      <c r="E78" s="5">
        <f>VLOOKUP($C78,'Finished goods'!$A$5:$Q$27,3,FALSE)</f>
        <v>5</v>
      </c>
      <c r="F78" s="5">
        <f>VLOOKUP($C78,'Finished goods'!$A$5:$Q$27,4,FALSE)</f>
        <v>0.25</v>
      </c>
      <c r="G78" s="5">
        <f>VLOOKUP($C78,'Finished goods'!$A$5:$Q$27,5,FALSE)</f>
        <v>25</v>
      </c>
      <c r="H78" s="8">
        <f>VLOOKUP($C78,'Finished goods'!$A$5:$Q$27,6,FALSE)</f>
        <v>1.575448E-4</v>
      </c>
      <c r="I78" s="9">
        <f>VLOOKUP($C78,'Finished goods'!$A$5:$Q$27,7,FALSE)</f>
        <v>0.43762444444444443</v>
      </c>
      <c r="J78" s="9">
        <f>VLOOKUP($C78,'Finished goods'!$A$5:$Q$27,8,FALSE)</f>
        <v>0.39386199999999999</v>
      </c>
      <c r="R78" s="23">
        <v>10</v>
      </c>
      <c r="S78" s="6">
        <f>+G78*$R78</f>
        <v>250</v>
      </c>
      <c r="T78" s="6">
        <f>+I78*$R78</f>
        <v>4.3762444444444446</v>
      </c>
      <c r="U78" s="4">
        <f>+J78*$R78</f>
        <v>3.9386199999999998</v>
      </c>
      <c r="V78" s="16">
        <f>+S78*$M$3/'COST DATA'!$D$26</f>
        <v>2.1155295807966668</v>
      </c>
      <c r="W78" s="16">
        <f>+U78*$N$3</f>
        <v>2.6739291179999999E-2</v>
      </c>
      <c r="X78" s="27">
        <f>+S78*$O$3</f>
        <v>39.375000000000007</v>
      </c>
      <c r="Y78" s="4">
        <f t="shared" ref="Y78" si="28">+S78*$P$3</f>
        <v>14.72007722007722</v>
      </c>
      <c r="Z78" s="4">
        <f t="shared" ref="Z78" si="29">+(S78/$S$3)*($S$1)</f>
        <v>0.59523809523809523</v>
      </c>
      <c r="AA78" s="4">
        <f>+'Finished goods'!$O$3*'Project La Gallina'!T78</f>
        <v>0.50729991340863434</v>
      </c>
      <c r="AB78" s="4"/>
      <c r="AC78" s="7">
        <f>+V78+W78+X78+Y78+Z78+AA78+AB78</f>
        <v>57.33988410070063</v>
      </c>
    </row>
    <row r="81" spans="1:29" ht="18" x14ac:dyDescent="0.35">
      <c r="D81" s="237" t="s">
        <v>40</v>
      </c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4" t="s">
        <v>32</v>
      </c>
      <c r="S81" s="47">
        <f>+S83/60/7</f>
        <v>1.8809523809523809</v>
      </c>
      <c r="T81" t="s">
        <v>83</v>
      </c>
    </row>
    <row r="82" spans="1:29" x14ac:dyDescent="0.3">
      <c r="D82" s="236" t="s">
        <v>33</v>
      </c>
      <c r="E82" s="236"/>
      <c r="F82" s="236"/>
      <c r="G82" s="236"/>
      <c r="H82" s="236"/>
      <c r="I82" s="236"/>
      <c r="J82" s="236"/>
      <c r="M82" s="236" t="s">
        <v>36</v>
      </c>
      <c r="N82" s="236"/>
      <c r="O82" s="236"/>
      <c r="P82" s="236"/>
      <c r="Q82" s="236"/>
      <c r="V82" s="241" t="s">
        <v>41</v>
      </c>
      <c r="W82" s="241"/>
      <c r="X82" s="241"/>
      <c r="Y82" s="241"/>
      <c r="Z82" s="241"/>
      <c r="AA82" s="241"/>
      <c r="AB82" s="241"/>
      <c r="AC82" s="241"/>
    </row>
    <row r="83" spans="1:29" ht="18" x14ac:dyDescent="0.35">
      <c r="F83" s="225" t="s">
        <v>44</v>
      </c>
      <c r="G83" s="225"/>
      <c r="I83" s="20">
        <f>SUBTOTAL(9,I85:I86)</f>
        <v>0.94610833333333333</v>
      </c>
      <c r="J83" s="20">
        <f>SUBTOTAL(9,J85:J86)</f>
        <v>0.85149750000000002</v>
      </c>
      <c r="K83" s="1">
        <f>+'Finished goods'!$I$3</f>
        <v>2500</v>
      </c>
      <c r="L83" s="1">
        <f>+'Finished goods'!$J$3</f>
        <v>0.9</v>
      </c>
      <c r="M83" s="15">
        <f>+'Finished goods'!$K$3</f>
        <v>0.50772709939119998</v>
      </c>
      <c r="N83" s="15">
        <f>+'Finished goods'!$L$3</f>
        <v>6.7889999999999999E-3</v>
      </c>
      <c r="O83" s="13">
        <f>+'Finished goods'!$M$3</f>
        <v>0.15750000000000003</v>
      </c>
      <c r="P83" s="46">
        <f>+'Finished goods'!$N$3</f>
        <v>5.8880308880308881E-2</v>
      </c>
      <c r="Q83" s="1"/>
      <c r="S83" s="17">
        <f t="shared" ref="S83:AC83" si="30">SUBTOTAL(9,S85:S86)</f>
        <v>790</v>
      </c>
      <c r="T83" s="17">
        <f t="shared" si="30"/>
        <v>9.4610833333333328</v>
      </c>
      <c r="U83" s="17">
        <f t="shared" si="30"/>
        <v>8.5149749999999997</v>
      </c>
      <c r="V83" s="18">
        <f t="shared" si="30"/>
        <v>6.6850734753174663</v>
      </c>
      <c r="W83" s="18">
        <f t="shared" si="30"/>
        <v>5.7808165274999997E-2</v>
      </c>
      <c r="X83" s="18">
        <f t="shared" si="30"/>
        <v>124.42500000000001</v>
      </c>
      <c r="Y83" s="18">
        <f t="shared" si="30"/>
        <v>46.515444015444018</v>
      </c>
      <c r="Z83" s="18">
        <f t="shared" si="30"/>
        <v>1.8809523809523809</v>
      </c>
      <c r="AA83" s="18">
        <f t="shared" si="30"/>
        <v>1.0967410108557529</v>
      </c>
      <c r="AB83" s="18">
        <f t="shared" si="30"/>
        <v>0</v>
      </c>
      <c r="AC83" s="19">
        <f t="shared" si="30"/>
        <v>180.66101904784466</v>
      </c>
    </row>
    <row r="84" spans="1:29" x14ac:dyDescent="0.3">
      <c r="A84" s="1" t="s">
        <v>145</v>
      </c>
      <c r="B84" s="1" t="s">
        <v>30</v>
      </c>
      <c r="C84" s="1" t="s">
        <v>0</v>
      </c>
      <c r="D84" s="1" t="s">
        <v>4</v>
      </c>
      <c r="E84" s="1" t="s">
        <v>5</v>
      </c>
      <c r="F84" s="1" t="s">
        <v>45</v>
      </c>
      <c r="G84" s="1" t="s">
        <v>57</v>
      </c>
      <c r="H84" s="1" t="s">
        <v>6</v>
      </c>
      <c r="I84" s="1" t="s">
        <v>2</v>
      </c>
      <c r="J84" s="1" t="s">
        <v>7</v>
      </c>
      <c r="K84" s="1" t="s">
        <v>31</v>
      </c>
      <c r="L84" s="1" t="s">
        <v>8</v>
      </c>
      <c r="M84" s="1" t="s">
        <v>34</v>
      </c>
      <c r="N84" s="1" t="s">
        <v>35</v>
      </c>
      <c r="O84" s="1" t="s">
        <v>37</v>
      </c>
      <c r="P84" s="1" t="s">
        <v>79</v>
      </c>
      <c r="Q84" s="1" t="s">
        <v>38</v>
      </c>
      <c r="R84" s="1" t="s">
        <v>39</v>
      </c>
      <c r="S84" s="2" t="s">
        <v>43</v>
      </c>
      <c r="T84" s="2" t="s">
        <v>2</v>
      </c>
      <c r="U84" s="2" t="s">
        <v>7</v>
      </c>
      <c r="V84" s="2">
        <f>+'Finished goods'!K84</f>
        <v>0</v>
      </c>
      <c r="W84" s="2">
        <f>+'Finished goods'!L84</f>
        <v>0</v>
      </c>
      <c r="X84" s="2">
        <f>+'Finished goods'!M84</f>
        <v>0</v>
      </c>
      <c r="Y84" s="2">
        <f>+'Finished goods'!N84</f>
        <v>0</v>
      </c>
      <c r="Z84" s="2">
        <f>+'Finished goods'!Q84</f>
        <v>0</v>
      </c>
      <c r="AA84" s="3" t="s">
        <v>111</v>
      </c>
      <c r="AB84" s="3" t="s">
        <v>115</v>
      </c>
      <c r="AC84" s="3" t="s">
        <v>42</v>
      </c>
    </row>
    <row r="85" spans="1:29" x14ac:dyDescent="0.3">
      <c r="A85" s="245" t="s">
        <v>409</v>
      </c>
      <c r="B85" s="21" t="s">
        <v>124</v>
      </c>
      <c r="C85" s="4" t="str">
        <f>+C69</f>
        <v>Oliera1</v>
      </c>
      <c r="D85" s="5">
        <f>VLOOKUP($C85,'Finished goods'!$A$5:$Q$27,2,FALSE)</f>
        <v>2</v>
      </c>
      <c r="E85" s="5">
        <f>VLOOKUP($C85,'Finished goods'!$A$5:$Q$27,3,FALSE)</f>
        <v>1</v>
      </c>
      <c r="F85" s="5">
        <f>VLOOKUP($C85,'Finished goods'!$A$5:$Q$27,4,FALSE)</f>
        <v>0.54</v>
      </c>
      <c r="G85" s="5">
        <f>VLOOKUP($C85,'Finished goods'!$A$5:$Q$27,5,FALSE)</f>
        <v>54</v>
      </c>
      <c r="H85" s="8">
        <f>VLOOKUP($C85,'Finished goods'!$A$5:$Q$27,6,FALSE)</f>
        <v>1.830542E-4</v>
      </c>
      <c r="I85" s="9">
        <f>VLOOKUP($C85,'Finished goods'!$A$5:$Q$27,7,FALSE)</f>
        <v>0.50848388888888885</v>
      </c>
      <c r="J85" s="9">
        <f>VLOOKUP($C85,'Finished goods'!$A$5:$Q$27,8,FALSE)</f>
        <v>0.45763549999999997</v>
      </c>
      <c r="R85" s="23">
        <v>10</v>
      </c>
      <c r="S85" s="6">
        <f>+G85*$R85</f>
        <v>540</v>
      </c>
      <c r="T85" s="6">
        <f>+I85*$R85</f>
        <v>5.0848388888888882</v>
      </c>
      <c r="U85" s="4">
        <f>+J85*$R85</f>
        <v>4.5763549999999995</v>
      </c>
      <c r="V85" s="16">
        <f>+S85*$M$3/'COST DATA'!$D$26</f>
        <v>4.5695438945208</v>
      </c>
      <c r="W85" s="16">
        <f>+U85*$N$3</f>
        <v>3.1068874094999997E-2</v>
      </c>
      <c r="X85" s="27">
        <f>+S85*$O$3</f>
        <v>85.050000000000011</v>
      </c>
      <c r="Y85" s="4">
        <f>+S85*$P$3</f>
        <v>31.795366795366796</v>
      </c>
      <c r="Z85" s="4">
        <f>+(S85/$S$3)*($S$1)</f>
        <v>1.2857142857142856</v>
      </c>
      <c r="AA85" s="4">
        <f>+'Finished goods'!$O$3*'Project La Gallina'!T85</f>
        <v>0.5894410974471187</v>
      </c>
      <c r="AB85" s="4"/>
      <c r="AC85" s="7">
        <f>+V85+W85+X85+Y85+Z85+AA85+AB85</f>
        <v>123.32113494714402</v>
      </c>
    </row>
    <row r="86" spans="1:29" x14ac:dyDescent="0.3">
      <c r="A86" s="246"/>
      <c r="B86" s="21" t="s">
        <v>124</v>
      </c>
      <c r="C86" s="4" t="str">
        <f>+C70</f>
        <v>Piatto spirale</v>
      </c>
      <c r="D86" s="5">
        <f>VLOOKUP($C86,'Finished goods'!$A$5:$Q$27,2,FALSE)</f>
        <v>4</v>
      </c>
      <c r="E86" s="5">
        <f>VLOOKUP($C86,'Finished goods'!$A$5:$Q$27,3,FALSE)</f>
        <v>5</v>
      </c>
      <c r="F86" s="5">
        <f>VLOOKUP($C86,'Finished goods'!$A$5:$Q$27,4,FALSE)</f>
        <v>0.25</v>
      </c>
      <c r="G86" s="5">
        <f>VLOOKUP($C86,'Finished goods'!$A$5:$Q$27,5,FALSE)</f>
        <v>25</v>
      </c>
      <c r="H86" s="8">
        <f>VLOOKUP($C86,'Finished goods'!$A$5:$Q$27,6,FALSE)</f>
        <v>1.575448E-4</v>
      </c>
      <c r="I86" s="9">
        <f>VLOOKUP($C86,'Finished goods'!$A$5:$Q$27,7,FALSE)</f>
        <v>0.43762444444444443</v>
      </c>
      <c r="J86" s="9">
        <f>VLOOKUP($C86,'Finished goods'!$A$5:$Q$27,8,FALSE)</f>
        <v>0.39386199999999999</v>
      </c>
      <c r="R86" s="23">
        <v>10</v>
      </c>
      <c r="S86" s="6">
        <f>+G86*$R86</f>
        <v>250</v>
      </c>
      <c r="T86" s="6">
        <f>+I86*$R86</f>
        <v>4.3762444444444446</v>
      </c>
      <c r="U86" s="4">
        <f>+J86*$R86</f>
        <v>3.9386199999999998</v>
      </c>
      <c r="V86" s="16">
        <f>+S86*$M$3/'COST DATA'!$D$26</f>
        <v>2.1155295807966668</v>
      </c>
      <c r="W86" s="16">
        <f>+U86*$N$3</f>
        <v>2.6739291179999999E-2</v>
      </c>
      <c r="X86" s="27">
        <f>+S86*$O$3</f>
        <v>39.375000000000007</v>
      </c>
      <c r="Y86" s="4">
        <f t="shared" ref="Y86" si="31">+S86*$P$3</f>
        <v>14.72007722007722</v>
      </c>
      <c r="Z86" s="4">
        <f t="shared" ref="Z86" si="32">+(S86/$S$3)*($S$1)</f>
        <v>0.59523809523809523</v>
      </c>
      <c r="AA86" s="4">
        <f>+'Finished goods'!$O$3*'Project La Gallina'!T86</f>
        <v>0.50729991340863434</v>
      </c>
      <c r="AB86" s="4"/>
      <c r="AC86" s="7">
        <f>+V86+W86+X86+Y86+Z86+AA86+AB86</f>
        <v>57.33988410070063</v>
      </c>
    </row>
    <row r="89" spans="1:29" ht="18" x14ac:dyDescent="0.35">
      <c r="D89" s="237" t="s">
        <v>40</v>
      </c>
      <c r="E89" s="237"/>
      <c r="F89" s="237"/>
      <c r="G89" s="237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4" t="s">
        <v>32</v>
      </c>
      <c r="S89" s="47">
        <f>+S91/60/7</f>
        <v>1.8809523809523809</v>
      </c>
      <c r="T89" t="s">
        <v>83</v>
      </c>
    </row>
    <row r="90" spans="1:29" x14ac:dyDescent="0.3">
      <c r="D90" s="236" t="s">
        <v>33</v>
      </c>
      <c r="E90" s="236"/>
      <c r="F90" s="236"/>
      <c r="G90" s="236"/>
      <c r="H90" s="236"/>
      <c r="I90" s="236"/>
      <c r="J90" s="236"/>
      <c r="M90" s="236" t="s">
        <v>36</v>
      </c>
      <c r="N90" s="236"/>
      <c r="O90" s="236"/>
      <c r="P90" s="236"/>
      <c r="Q90" s="236"/>
      <c r="V90" s="241" t="s">
        <v>41</v>
      </c>
      <c r="W90" s="241"/>
      <c r="X90" s="241"/>
      <c r="Y90" s="241"/>
      <c r="Z90" s="241"/>
      <c r="AA90" s="241"/>
      <c r="AB90" s="241"/>
      <c r="AC90" s="241"/>
    </row>
    <row r="91" spans="1:29" ht="18" x14ac:dyDescent="0.35">
      <c r="F91" s="225" t="s">
        <v>44</v>
      </c>
      <c r="G91" s="225"/>
      <c r="I91" s="20">
        <f>SUBTOTAL(9,I93:I94)</f>
        <v>0.94610833333333333</v>
      </c>
      <c r="J91" s="20">
        <f>SUBTOTAL(9,J93:J94)</f>
        <v>0.85149750000000002</v>
      </c>
      <c r="K91" s="1">
        <f>+'Finished goods'!$I$3</f>
        <v>2500</v>
      </c>
      <c r="L91" s="1">
        <f>+'Finished goods'!$J$3</f>
        <v>0.9</v>
      </c>
      <c r="M91" s="15">
        <f>+'Finished goods'!$K$3</f>
        <v>0.50772709939119998</v>
      </c>
      <c r="N91" s="15">
        <f>+'Finished goods'!$L$3</f>
        <v>6.7889999999999999E-3</v>
      </c>
      <c r="O91" s="13">
        <f>+'Finished goods'!$M$3</f>
        <v>0.15750000000000003</v>
      </c>
      <c r="P91" s="46">
        <f>+'Finished goods'!$N$3</f>
        <v>5.8880308880308881E-2</v>
      </c>
      <c r="Q91" s="1"/>
      <c r="S91" s="17">
        <f t="shared" ref="S91:AC91" si="33">SUBTOTAL(9,S93:S94)</f>
        <v>790</v>
      </c>
      <c r="T91" s="17">
        <f t="shared" si="33"/>
        <v>9.4610833333333328</v>
      </c>
      <c r="U91" s="17">
        <f t="shared" si="33"/>
        <v>8.5149749999999997</v>
      </c>
      <c r="V91" s="18">
        <f t="shared" si="33"/>
        <v>6.6850734753174663</v>
      </c>
      <c r="W91" s="18">
        <f t="shared" si="33"/>
        <v>5.7808165274999997E-2</v>
      </c>
      <c r="X91" s="18">
        <f t="shared" si="33"/>
        <v>124.42500000000001</v>
      </c>
      <c r="Y91" s="18">
        <f t="shared" si="33"/>
        <v>46.515444015444018</v>
      </c>
      <c r="Z91" s="18">
        <f t="shared" si="33"/>
        <v>1.8809523809523809</v>
      </c>
      <c r="AA91" s="18">
        <f t="shared" si="33"/>
        <v>1.0967410108557529</v>
      </c>
      <c r="AB91" s="18">
        <f t="shared" si="33"/>
        <v>0</v>
      </c>
      <c r="AC91" s="19">
        <f t="shared" si="33"/>
        <v>180.66101904784466</v>
      </c>
    </row>
    <row r="92" spans="1:29" x14ac:dyDescent="0.3">
      <c r="A92" s="1" t="s">
        <v>145</v>
      </c>
      <c r="B92" s="1" t="s">
        <v>30</v>
      </c>
      <c r="C92" s="1" t="s">
        <v>0</v>
      </c>
      <c r="D92" s="1" t="s">
        <v>4</v>
      </c>
      <c r="E92" s="1" t="s">
        <v>5</v>
      </c>
      <c r="F92" s="1" t="s">
        <v>45</v>
      </c>
      <c r="G92" s="1" t="s">
        <v>57</v>
      </c>
      <c r="H92" s="1" t="s">
        <v>6</v>
      </c>
      <c r="I92" s="1" t="s">
        <v>2</v>
      </c>
      <c r="J92" s="1" t="s">
        <v>7</v>
      </c>
      <c r="K92" s="1" t="s">
        <v>31</v>
      </c>
      <c r="L92" s="1" t="s">
        <v>8</v>
      </c>
      <c r="M92" s="1" t="s">
        <v>34</v>
      </c>
      <c r="N92" s="1" t="s">
        <v>35</v>
      </c>
      <c r="O92" s="1" t="s">
        <v>37</v>
      </c>
      <c r="P92" s="1" t="s">
        <v>79</v>
      </c>
      <c r="Q92" s="1" t="s">
        <v>38</v>
      </c>
      <c r="R92" s="1" t="s">
        <v>39</v>
      </c>
      <c r="S92" s="2" t="s">
        <v>43</v>
      </c>
      <c r="T92" s="2" t="s">
        <v>2</v>
      </c>
      <c r="U92" s="2" t="s">
        <v>7</v>
      </c>
      <c r="V92" s="2">
        <f>+'Finished goods'!K92</f>
        <v>0</v>
      </c>
      <c r="W92" s="2">
        <f>+'Finished goods'!L92</f>
        <v>0</v>
      </c>
      <c r="X92" s="2">
        <f>+'Finished goods'!M92</f>
        <v>0</v>
      </c>
      <c r="Y92" s="2">
        <f>+'Finished goods'!N92</f>
        <v>0</v>
      </c>
      <c r="Z92" s="2">
        <f>+'Finished goods'!Q92</f>
        <v>0</v>
      </c>
      <c r="AA92" s="3" t="s">
        <v>111</v>
      </c>
      <c r="AB92" s="3" t="s">
        <v>115</v>
      </c>
      <c r="AC92" s="3" t="s">
        <v>42</v>
      </c>
    </row>
    <row r="93" spans="1:29" x14ac:dyDescent="0.3">
      <c r="A93" s="245" t="s">
        <v>410</v>
      </c>
      <c r="B93" s="21" t="s">
        <v>124</v>
      </c>
      <c r="C93" s="4" t="str">
        <f>+C85</f>
        <v>Oliera1</v>
      </c>
      <c r="D93" s="5">
        <f>VLOOKUP($C93,'Finished goods'!$A$5:$Q$27,2,FALSE)</f>
        <v>2</v>
      </c>
      <c r="E93" s="5">
        <f>VLOOKUP($C93,'Finished goods'!$A$5:$Q$27,3,FALSE)</f>
        <v>1</v>
      </c>
      <c r="F93" s="5">
        <f>VLOOKUP($C93,'Finished goods'!$A$5:$Q$27,4,FALSE)</f>
        <v>0.54</v>
      </c>
      <c r="G93" s="5">
        <f>VLOOKUP($C93,'Finished goods'!$A$5:$Q$27,5,FALSE)</f>
        <v>54</v>
      </c>
      <c r="H93" s="8">
        <f>VLOOKUP($C93,'Finished goods'!$A$5:$Q$27,6,FALSE)</f>
        <v>1.830542E-4</v>
      </c>
      <c r="I93" s="9">
        <f>VLOOKUP($C93,'Finished goods'!$A$5:$Q$27,7,FALSE)</f>
        <v>0.50848388888888885</v>
      </c>
      <c r="J93" s="9">
        <f>VLOOKUP($C93,'Finished goods'!$A$5:$Q$27,8,FALSE)</f>
        <v>0.45763549999999997</v>
      </c>
      <c r="R93" s="23">
        <v>10</v>
      </c>
      <c r="S93" s="6">
        <f>+G93*$R93</f>
        <v>540</v>
      </c>
      <c r="T93" s="6">
        <f>+I93*$R93</f>
        <v>5.0848388888888882</v>
      </c>
      <c r="U93" s="4">
        <f>+J93*$R93</f>
        <v>4.5763549999999995</v>
      </c>
      <c r="V93" s="16">
        <f>+S93*$M$3/'COST DATA'!$D$26</f>
        <v>4.5695438945208</v>
      </c>
      <c r="W93" s="16">
        <f>+U93*$N$3</f>
        <v>3.1068874094999997E-2</v>
      </c>
      <c r="X93" s="27">
        <f>+S93*$O$3</f>
        <v>85.050000000000011</v>
      </c>
      <c r="Y93" s="4">
        <f>+S93*$P$3</f>
        <v>31.795366795366796</v>
      </c>
      <c r="Z93" s="4">
        <f>+(S93/$S$3)*($S$1)</f>
        <v>1.2857142857142856</v>
      </c>
      <c r="AA93" s="4">
        <f>+'Finished goods'!$O$3*'Project La Gallina'!T93</f>
        <v>0.5894410974471187</v>
      </c>
      <c r="AB93" s="4"/>
      <c r="AC93" s="7">
        <f>+V93+W93+X93+Y93+Z93+AA93+AB93</f>
        <v>123.32113494714402</v>
      </c>
    </row>
    <row r="94" spans="1:29" x14ac:dyDescent="0.3">
      <c r="A94" s="246"/>
      <c r="B94" s="21" t="s">
        <v>124</v>
      </c>
      <c r="C94" s="4" t="str">
        <f>+C86</f>
        <v>Piatto spirale</v>
      </c>
      <c r="D94" s="5">
        <f>VLOOKUP($C94,'Finished goods'!$A$5:$Q$27,2,FALSE)</f>
        <v>4</v>
      </c>
      <c r="E94" s="5">
        <f>VLOOKUP($C94,'Finished goods'!$A$5:$Q$27,3,FALSE)</f>
        <v>5</v>
      </c>
      <c r="F94" s="5">
        <f>VLOOKUP($C94,'Finished goods'!$A$5:$Q$27,4,FALSE)</f>
        <v>0.25</v>
      </c>
      <c r="G94" s="5">
        <f>VLOOKUP($C94,'Finished goods'!$A$5:$Q$27,5,FALSE)</f>
        <v>25</v>
      </c>
      <c r="H94" s="8">
        <f>VLOOKUP($C94,'Finished goods'!$A$5:$Q$27,6,FALSE)</f>
        <v>1.575448E-4</v>
      </c>
      <c r="I94" s="9">
        <f>VLOOKUP($C94,'Finished goods'!$A$5:$Q$27,7,FALSE)</f>
        <v>0.43762444444444443</v>
      </c>
      <c r="J94" s="9">
        <f>VLOOKUP($C94,'Finished goods'!$A$5:$Q$27,8,FALSE)</f>
        <v>0.39386199999999999</v>
      </c>
      <c r="R94" s="23">
        <v>10</v>
      </c>
      <c r="S94" s="6">
        <f>+G94*$R94</f>
        <v>250</v>
      </c>
      <c r="T94" s="6">
        <f>+I94*$R94</f>
        <v>4.3762444444444446</v>
      </c>
      <c r="U94" s="4">
        <f>+J94*$R94</f>
        <v>3.9386199999999998</v>
      </c>
      <c r="V94" s="16">
        <f>+S94*$M$3/'COST DATA'!$D$26</f>
        <v>2.1155295807966668</v>
      </c>
      <c r="W94" s="16">
        <f>+U94*$N$3</f>
        <v>2.6739291179999999E-2</v>
      </c>
      <c r="X94" s="27">
        <f>+S94*$O$3</f>
        <v>39.375000000000007</v>
      </c>
      <c r="Y94" s="4">
        <f t="shared" ref="Y94" si="34">+S94*$P$3</f>
        <v>14.72007722007722</v>
      </c>
      <c r="Z94" s="4">
        <f t="shared" ref="Z94" si="35">+(S94/$S$3)*($S$1)</f>
        <v>0.59523809523809523</v>
      </c>
      <c r="AA94" s="4">
        <f>+'Finished goods'!$O$3*'Project La Gallina'!T94</f>
        <v>0.50729991340863434</v>
      </c>
      <c r="AB94" s="4"/>
      <c r="AC94" s="7">
        <f>+V94+W94+X94+Y94+Z94+AA94+AB94</f>
        <v>57.33988410070063</v>
      </c>
    </row>
  </sheetData>
  <autoFilter ref="B4:AC4" xr:uid="{A261D3EF-DCD0-46C4-9FC0-F29520733099}"/>
  <mergeCells count="72">
    <mergeCell ref="F91:G91"/>
    <mergeCell ref="A93:A94"/>
    <mergeCell ref="V82:AC82"/>
    <mergeCell ref="F83:G83"/>
    <mergeCell ref="A85:A86"/>
    <mergeCell ref="D89:Q89"/>
    <mergeCell ref="D90:J90"/>
    <mergeCell ref="M90:Q90"/>
    <mergeCell ref="V90:AC90"/>
    <mergeCell ref="F75:G75"/>
    <mergeCell ref="A77:A78"/>
    <mergeCell ref="D81:Q81"/>
    <mergeCell ref="D82:J82"/>
    <mergeCell ref="M82:Q82"/>
    <mergeCell ref="V66:AC66"/>
    <mergeCell ref="F67:G67"/>
    <mergeCell ref="A69:A70"/>
    <mergeCell ref="D73:Q73"/>
    <mergeCell ref="D74:J74"/>
    <mergeCell ref="M74:Q74"/>
    <mergeCell ref="V74:AC74"/>
    <mergeCell ref="F59:G59"/>
    <mergeCell ref="A61:A62"/>
    <mergeCell ref="D65:Q65"/>
    <mergeCell ref="D66:J66"/>
    <mergeCell ref="M66:Q66"/>
    <mergeCell ref="V50:AC50"/>
    <mergeCell ref="F51:G51"/>
    <mergeCell ref="A53:A54"/>
    <mergeCell ref="D57:Q57"/>
    <mergeCell ref="D58:J58"/>
    <mergeCell ref="M58:Q58"/>
    <mergeCell ref="V58:AC58"/>
    <mergeCell ref="F43:G43"/>
    <mergeCell ref="A45:A46"/>
    <mergeCell ref="D49:Q49"/>
    <mergeCell ref="D50:J50"/>
    <mergeCell ref="M50:Q50"/>
    <mergeCell ref="V34:AC34"/>
    <mergeCell ref="F35:G35"/>
    <mergeCell ref="A37:A38"/>
    <mergeCell ref="D41:Q41"/>
    <mergeCell ref="D42:J42"/>
    <mergeCell ref="M42:Q42"/>
    <mergeCell ref="V42:AC42"/>
    <mergeCell ref="F27:G27"/>
    <mergeCell ref="A29:A30"/>
    <mergeCell ref="D33:Q33"/>
    <mergeCell ref="D34:J34"/>
    <mergeCell ref="M34:Q34"/>
    <mergeCell ref="V18:AC18"/>
    <mergeCell ref="F19:G19"/>
    <mergeCell ref="A21:A22"/>
    <mergeCell ref="D25:Q25"/>
    <mergeCell ref="D26:J26"/>
    <mergeCell ref="M26:Q26"/>
    <mergeCell ref="V26:AC26"/>
    <mergeCell ref="F11:G11"/>
    <mergeCell ref="A13:A14"/>
    <mergeCell ref="D17:Q17"/>
    <mergeCell ref="D18:J18"/>
    <mergeCell ref="M18:Q18"/>
    <mergeCell ref="A5:A6"/>
    <mergeCell ref="D9:Q9"/>
    <mergeCell ref="D10:J10"/>
    <mergeCell ref="M10:Q10"/>
    <mergeCell ref="V10:AC10"/>
    <mergeCell ref="D1:Q1"/>
    <mergeCell ref="D2:J2"/>
    <mergeCell ref="M2:Q2"/>
    <mergeCell ref="V2:AC2"/>
    <mergeCell ref="F3:G3"/>
  </mergeCells>
  <phoneticPr fontId="10" type="noConversion"/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B2041-2DDC-4867-95FC-3E103F40250B}">
  <sheetPr>
    <tabColor theme="3" tint="0.499984740745262"/>
  </sheetPr>
  <dimension ref="A1:AJ346"/>
  <sheetViews>
    <sheetView zoomScaleNormal="100" workbookViewId="0">
      <pane xSplit="3" ySplit="4" topLeftCell="AC17" activePane="bottomRight" state="frozen"/>
      <selection activeCell="AJ3" sqref="AJ3"/>
      <selection pane="topRight" activeCell="AJ3" sqref="AJ3"/>
      <selection pane="bottomLeft" activeCell="AJ3" sqref="AJ3"/>
      <selection pane="bottomRight" activeCell="R19" sqref="R19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customWidth="1"/>
    <col min="6" max="6" width="11.77734375" bestFit="1" customWidth="1"/>
    <col min="7" max="7" width="8.44140625" customWidth="1"/>
    <col min="8" max="8" width="15.44140625" customWidth="1"/>
    <col min="9" max="10" width="14" customWidth="1"/>
    <col min="11" max="11" width="10.44140625" hidden="1" customWidth="1" outlineLevel="1"/>
    <col min="12" max="12" width="13.44140625" hidden="1" customWidth="1" outlineLevel="1"/>
    <col min="13" max="13" width="11.33203125" hidden="1" customWidth="1" outlineLevel="1"/>
    <col min="14" max="14" width="14.6640625" hidden="1" customWidth="1" outlineLevel="1"/>
    <col min="15" max="15" width="9.109375" hidden="1" customWidth="1" outlineLevel="1"/>
    <col min="16" max="16" width="11.2187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1.33203125" bestFit="1" customWidth="1"/>
    <col min="23" max="23" width="14.6640625" bestFit="1" customWidth="1"/>
    <col min="24" max="24" width="14" bestFit="1" customWidth="1"/>
    <col min="25" max="26" width="10.109375" bestFit="1" customWidth="1"/>
    <col min="27" max="28" width="10.109375" customWidth="1"/>
    <col min="29" max="29" width="14.6640625" bestFit="1" customWidth="1"/>
    <col min="30" max="30" width="9.44140625" bestFit="1" customWidth="1"/>
    <col min="31" max="32" width="10.77734375" bestFit="1" customWidth="1"/>
    <col min="34" max="34" width="16.33203125" bestFit="1" customWidth="1"/>
    <col min="35" max="35" width="16" bestFit="1" customWidth="1"/>
  </cols>
  <sheetData>
    <row r="1" spans="1:36" ht="18.600000000000001" thickBot="1" x14ac:dyDescent="0.4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10" t="s">
        <v>32</v>
      </c>
      <c r="S1" s="87">
        <f>+S3/60/7</f>
        <v>1.4738095238095237</v>
      </c>
      <c r="T1" s="88" t="s">
        <v>83</v>
      </c>
    </row>
    <row r="2" spans="1:36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38" t="s">
        <v>135</v>
      </c>
      <c r="W2" s="239"/>
      <c r="X2" s="239"/>
      <c r="Y2" s="239"/>
      <c r="Z2" s="239"/>
      <c r="AA2" s="239"/>
      <c r="AB2" s="239"/>
      <c r="AC2" s="240"/>
      <c r="AJ2" s="171" t="s">
        <v>433</v>
      </c>
    </row>
    <row r="3" spans="1:36" ht="18" x14ac:dyDescent="0.35">
      <c r="F3" s="225" t="s">
        <v>44</v>
      </c>
      <c r="G3" s="225"/>
      <c r="I3" s="20">
        <f>SUBTOTAL(9,I5:I27)</f>
        <v>59.570075669444442</v>
      </c>
      <c r="J3" s="20">
        <f>SUBTOTAL(9,J5:J27)</f>
        <v>53.613068102499987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>SUBTOTAL(9,S5:S27)</f>
        <v>619</v>
      </c>
      <c r="T3" s="17">
        <f>SUBTOTAL(9,T5:T27)</f>
        <v>2.0300484499999999E-3</v>
      </c>
      <c r="U3" s="75">
        <f>SUBTOTAL(9,U5:U27)</f>
        <v>5.0751211249999999</v>
      </c>
      <c r="V3" s="77">
        <f t="shared" ref="V3:AC3" si="0">SUBTOTAL(9,V5:V27)</f>
        <v>5.2380512420525465</v>
      </c>
      <c r="W3" s="17">
        <f t="shared" si="0"/>
        <v>3.4454997317624997E-2</v>
      </c>
      <c r="X3" s="17">
        <f t="shared" si="0"/>
        <v>97.492500000000007</v>
      </c>
      <c r="Y3" s="17">
        <f t="shared" si="0"/>
        <v>36.446911196911195</v>
      </c>
      <c r="Z3" s="17">
        <f t="shared" si="0"/>
        <v>1.4738095238095239</v>
      </c>
      <c r="AA3" s="17">
        <f t="shared" si="0"/>
        <v>2.3532584067777526E-4</v>
      </c>
      <c r="AB3" s="17">
        <f t="shared" si="0"/>
        <v>0</v>
      </c>
      <c r="AC3" s="78">
        <f t="shared" si="0"/>
        <v>140.68596228593159</v>
      </c>
      <c r="AF3" s="225" t="s">
        <v>118</v>
      </c>
      <c r="AG3" s="225"/>
      <c r="AH3" s="108">
        <f t="shared" ref="AH3" si="1">SUBTOTAL(9,AH5:AH27)</f>
        <v>180</v>
      </c>
      <c r="AI3" s="170">
        <f>SUBTOTAL(9,AI5:AI27)</f>
        <v>39.314037714068405</v>
      </c>
      <c r="AJ3" s="44">
        <f>+AH3-AC3-AI3</f>
        <v>0</v>
      </c>
    </row>
    <row r="4" spans="1:36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93</v>
      </c>
      <c r="Q4" s="1" t="s">
        <v>94</v>
      </c>
      <c r="R4" s="11" t="s">
        <v>39</v>
      </c>
      <c r="S4" s="2" t="s">
        <v>43</v>
      </c>
      <c r="T4" s="2" t="s">
        <v>2</v>
      </c>
      <c r="U4" s="76" t="s">
        <v>7</v>
      </c>
      <c r="V4" s="79" t="str">
        <f>+'Project Ostelliere'!V4</f>
        <v>energia €/h</v>
      </c>
      <c r="W4" s="2" t="str">
        <f>+'Project Ostelliere'!W4</f>
        <v>materiale €/Kg</v>
      </c>
      <c r="X4" s="2" t="str">
        <f>+'Project Ostelliere'!X4</f>
        <v>mod</v>
      </c>
      <c r="Y4" s="2" t="str">
        <f>+'Project Ostelliere'!Y4</f>
        <v>ammort</v>
      </c>
      <c r="Z4" s="2" t="str">
        <f>+'Project Ostelliere'!Z4</f>
        <v>Accensione</v>
      </c>
      <c r="AA4" s="3" t="s">
        <v>111</v>
      </c>
      <c r="AB4" s="3" t="s">
        <v>115</v>
      </c>
      <c r="AC4" s="80" t="s">
        <v>42</v>
      </c>
      <c r="AD4" s="53" t="s">
        <v>116</v>
      </c>
      <c r="AE4" s="1" t="s">
        <v>117</v>
      </c>
      <c r="AF4" s="1" t="s">
        <v>119</v>
      </c>
      <c r="AG4" s="1" t="s">
        <v>120</v>
      </c>
      <c r="AH4" s="1" t="s">
        <v>121</v>
      </c>
      <c r="AI4" s="1" t="s">
        <v>432</v>
      </c>
    </row>
    <row r="5" spans="1:36" x14ac:dyDescent="0.3">
      <c r="A5" s="222" t="s">
        <v>411</v>
      </c>
      <c r="B5" s="4"/>
      <c r="C5" s="4" t="str">
        <f>+'Project Ostelliere'!C5</f>
        <v>Tavolo twist Logo</v>
      </c>
      <c r="D5" s="5">
        <f>+'Finished goods'!B5</f>
        <v>8</v>
      </c>
      <c r="E5" s="5">
        <f>+'Finished goods'!C5</f>
        <v>10</v>
      </c>
      <c r="F5" s="5">
        <f>+'Finished goods'!D5</f>
        <v>1.22</v>
      </c>
      <c r="G5" s="5">
        <f>+'Finished goods'!E5</f>
        <v>82</v>
      </c>
      <c r="H5" s="4">
        <f>+'Finished goods'!F5</f>
        <v>7.9769999999999997E-3</v>
      </c>
      <c r="I5" s="6">
        <f>+'Finished goods'!G5</f>
        <v>22.158333333333331</v>
      </c>
      <c r="J5" s="6">
        <f>+'Finished goods'!H5</f>
        <v>19.942499999999999</v>
      </c>
      <c r="R5" s="23">
        <v>0</v>
      </c>
      <c r="S5" s="6">
        <f t="shared" ref="S5:T27" si="2">+G5*$R5</f>
        <v>0</v>
      </c>
      <c r="T5" s="6">
        <f t="shared" ref="T5" si="3">+I5*$R5</f>
        <v>0</v>
      </c>
      <c r="U5" s="4">
        <f>+J5*$R5</f>
        <v>0</v>
      </c>
      <c r="V5" s="115">
        <f>+S5*$M$3/'COST DATA'!$D$26</f>
        <v>0</v>
      </c>
      <c r="W5" s="16">
        <f>+U5*$N$3</f>
        <v>0</v>
      </c>
      <c r="X5" s="27">
        <f>+S5*$O$3</f>
        <v>0</v>
      </c>
      <c r="Y5" s="27">
        <f>+S5*$P$3</f>
        <v>0</v>
      </c>
      <c r="Z5" s="4">
        <f>+(S5/$S$3)*($S$1)</f>
        <v>0</v>
      </c>
      <c r="AA5" s="82">
        <f>+'Finished goods'!$O$3*'PRIVATE CUSTOMER (BtoC)'!T5</f>
        <v>0</v>
      </c>
      <c r="AB5" s="82">
        <f>+'Finished goods'!$P$5*R5</f>
        <v>0</v>
      </c>
      <c r="AC5" s="83">
        <f>SUM(V5:AB5)</f>
        <v>0</v>
      </c>
      <c r="AD5" s="93" t="e">
        <f>+AC5/R5</f>
        <v>#DIV/0!</v>
      </c>
      <c r="AE5" s="93">
        <f>+'REVENUE DATA'!$D$5</f>
        <v>1200</v>
      </c>
      <c r="AF5" s="74" t="e">
        <f>+AE5-AD5</f>
        <v>#DIV/0!</v>
      </c>
      <c r="AG5" s="172" t="e">
        <f>+AF5/AD5</f>
        <v>#DIV/0!</v>
      </c>
      <c r="AH5" s="105">
        <f>+AE5*R5</f>
        <v>0</v>
      </c>
      <c r="AI5" s="74">
        <f>+AH5-AC5</f>
        <v>0</v>
      </c>
    </row>
    <row r="6" spans="1:36" x14ac:dyDescent="0.3">
      <c r="A6" s="223"/>
      <c r="B6" s="4"/>
      <c r="C6" s="4" t="str">
        <f>+'Project Ostelliere'!C6</f>
        <v xml:space="preserve">Vaso bitorzolo curvo </v>
      </c>
      <c r="D6" s="5">
        <f>+'Finished goods'!B6</f>
        <v>4</v>
      </c>
      <c r="E6" s="5">
        <f>+'Finished goods'!C6</f>
        <v>2</v>
      </c>
      <c r="F6" s="5">
        <f>+'Finished goods'!D6</f>
        <v>5.21</v>
      </c>
      <c r="G6" s="5">
        <f>+'Finished goods'!E6</f>
        <v>321</v>
      </c>
      <c r="H6" s="4">
        <f>+'Finished goods'!F6</f>
        <v>6.0029599999999995E-4</v>
      </c>
      <c r="I6" s="6">
        <f>+'Finished goods'!G6</f>
        <v>1.6674888888888888</v>
      </c>
      <c r="J6" s="6">
        <f>+'Finished goods'!H6</f>
        <v>1.50074</v>
      </c>
      <c r="R6" s="23">
        <v>0</v>
      </c>
      <c r="S6" s="6">
        <f t="shared" si="2"/>
        <v>0</v>
      </c>
      <c r="T6" s="6">
        <f t="shared" si="2"/>
        <v>0</v>
      </c>
      <c r="U6" s="4">
        <f t="shared" ref="U6:U27" si="4">+J6*$R6</f>
        <v>0</v>
      </c>
      <c r="V6" s="115">
        <f>+S6*$M$3/'COST DATA'!$D$26</f>
        <v>0</v>
      </c>
      <c r="W6" s="16">
        <f t="shared" ref="W6:W27" si="5">+U6*$N$3</f>
        <v>0</v>
      </c>
      <c r="X6" s="27">
        <f t="shared" ref="X6:X27" si="6">+S6*$O$3</f>
        <v>0</v>
      </c>
      <c r="Y6" s="27">
        <f t="shared" ref="Y6:Y27" si="7">+S6*$P$3</f>
        <v>0</v>
      </c>
      <c r="Z6" s="4">
        <f t="shared" ref="Z6:Z27" si="8">+(S6/$S$3)*($S$1)</f>
        <v>0</v>
      </c>
      <c r="AA6" s="82">
        <f>+'Finished goods'!$O$3*'PRIVATE CUSTOMER (BtoC)'!T6</f>
        <v>0</v>
      </c>
      <c r="AB6" s="82">
        <f>+'Finished goods'!$P$6*R6</f>
        <v>0</v>
      </c>
      <c r="AC6" s="83">
        <f t="shared" ref="AC6:AC27" si="9">SUM(V6:AB6)</f>
        <v>0</v>
      </c>
      <c r="AD6" s="93" t="e">
        <f t="shared" ref="AD6:AD27" si="10">+AC6/R6</f>
        <v>#DIV/0!</v>
      </c>
      <c r="AE6" s="93">
        <f>+'REVENUE DATA'!$D$6</f>
        <v>350</v>
      </c>
      <c r="AF6" s="74" t="e">
        <f t="shared" ref="AF6:AF27" si="11">+AE6-AD6</f>
        <v>#DIV/0!</v>
      </c>
      <c r="AG6" s="172" t="e">
        <f t="shared" ref="AG6:AG27" si="12">+AF6/AD6</f>
        <v>#DIV/0!</v>
      </c>
      <c r="AH6" s="105">
        <f t="shared" ref="AH6:AH27" si="13">+AE6*R6</f>
        <v>0</v>
      </c>
      <c r="AI6" s="74">
        <f t="shared" ref="AI6:AI27" si="14">+AH6-AC6</f>
        <v>0</v>
      </c>
    </row>
    <row r="7" spans="1:36" x14ac:dyDescent="0.3">
      <c r="A7" s="223"/>
      <c r="B7" s="4"/>
      <c r="C7" s="4" t="str">
        <f>+'Project Ostelliere'!C7</f>
        <v>Vaso bitorzolo twist</v>
      </c>
      <c r="D7" s="5">
        <f>+'Finished goods'!B7</f>
        <v>4</v>
      </c>
      <c r="E7" s="5">
        <f>+'Finished goods'!C7</f>
        <v>2</v>
      </c>
      <c r="F7" s="5">
        <f>+'Finished goods'!D7</f>
        <v>5.15</v>
      </c>
      <c r="G7" s="5">
        <f>+'Finished goods'!E7</f>
        <v>315</v>
      </c>
      <c r="H7" s="4">
        <f>+'Finished goods'!F7</f>
        <v>8.005105E-4</v>
      </c>
      <c r="I7" s="6">
        <f>+'Finished goods'!G7</f>
        <v>2.2236402777777777</v>
      </c>
      <c r="J7" s="6">
        <f>+'Finished goods'!H7</f>
        <v>2.0012762500000001</v>
      </c>
      <c r="R7" s="23">
        <v>0</v>
      </c>
      <c r="S7" s="6">
        <f t="shared" si="2"/>
        <v>0</v>
      </c>
      <c r="T7" s="6">
        <f t="shared" si="2"/>
        <v>0</v>
      </c>
      <c r="U7" s="4">
        <f t="shared" si="4"/>
        <v>0</v>
      </c>
      <c r="V7" s="115">
        <f>+S7*$M$3/'COST DATA'!$D$26</f>
        <v>0</v>
      </c>
      <c r="W7" s="16">
        <f t="shared" si="5"/>
        <v>0</v>
      </c>
      <c r="X7" s="27">
        <f t="shared" si="6"/>
        <v>0</v>
      </c>
      <c r="Y7" s="27">
        <f t="shared" si="7"/>
        <v>0</v>
      </c>
      <c r="Z7" s="4">
        <f t="shared" si="8"/>
        <v>0</v>
      </c>
      <c r="AA7" s="82">
        <f>+'Finished goods'!$O$3*'PRIVATE CUSTOMER (BtoC)'!T7</f>
        <v>0</v>
      </c>
      <c r="AB7" s="82">
        <f>+'Finished goods'!$P$7*R7</f>
        <v>0</v>
      </c>
      <c r="AC7" s="83">
        <f t="shared" si="9"/>
        <v>0</v>
      </c>
      <c r="AD7" s="93" t="e">
        <f t="shared" si="10"/>
        <v>#DIV/0!</v>
      </c>
      <c r="AE7" s="93">
        <f>+'REVENUE DATA'!$D$7</f>
        <v>350</v>
      </c>
      <c r="AF7" s="74" t="e">
        <f t="shared" si="11"/>
        <v>#DIV/0!</v>
      </c>
      <c r="AG7" s="172" t="e">
        <f t="shared" si="12"/>
        <v>#DIV/0!</v>
      </c>
      <c r="AH7" s="105">
        <f t="shared" si="13"/>
        <v>0</v>
      </c>
      <c r="AI7" s="74">
        <f t="shared" si="14"/>
        <v>0</v>
      </c>
    </row>
    <row r="8" spans="1:36" x14ac:dyDescent="0.3">
      <c r="A8" s="223"/>
      <c r="B8" s="4"/>
      <c r="C8" s="4" t="str">
        <f>+'Project Ostelliere'!C8</f>
        <v>Vaso bitorzolo dritto</v>
      </c>
      <c r="D8" s="5">
        <f>+'Finished goods'!B8</f>
        <v>4</v>
      </c>
      <c r="E8" s="5">
        <f>+'Finished goods'!C8</f>
        <v>2</v>
      </c>
      <c r="F8" s="5">
        <f>+'Finished goods'!D8</f>
        <v>4.4800000000000004</v>
      </c>
      <c r="G8" s="5">
        <f>+'Finished goods'!E8</f>
        <v>288</v>
      </c>
      <c r="H8" s="4">
        <f>+'Finished goods'!F8</f>
        <v>8.2321687099999998E-4</v>
      </c>
      <c r="I8" s="6">
        <f>+'Finished goods'!G8</f>
        <v>2.2867135305555553</v>
      </c>
      <c r="J8" s="6">
        <f>+'Finished goods'!H8</f>
        <v>2.0580421775</v>
      </c>
      <c r="R8" s="23">
        <v>0</v>
      </c>
      <c r="S8" s="6">
        <f t="shared" si="2"/>
        <v>0</v>
      </c>
      <c r="T8" s="6">
        <f t="shared" si="2"/>
        <v>0</v>
      </c>
      <c r="U8" s="4">
        <f t="shared" si="4"/>
        <v>0</v>
      </c>
      <c r="V8" s="115">
        <f>+S8*$M$3/'COST DATA'!$D$26</f>
        <v>0</v>
      </c>
      <c r="W8" s="16">
        <f t="shared" si="5"/>
        <v>0</v>
      </c>
      <c r="X8" s="27">
        <f t="shared" si="6"/>
        <v>0</v>
      </c>
      <c r="Y8" s="27">
        <f t="shared" si="7"/>
        <v>0</v>
      </c>
      <c r="Z8" s="4">
        <f t="shared" si="8"/>
        <v>0</v>
      </c>
      <c r="AA8" s="82">
        <f>+'Finished goods'!$O$3*'PRIVATE CUSTOMER (BtoC)'!T8</f>
        <v>0</v>
      </c>
      <c r="AB8" s="82">
        <f>+'Finished goods'!$P$8*R8</f>
        <v>0</v>
      </c>
      <c r="AC8" s="83">
        <f t="shared" si="9"/>
        <v>0</v>
      </c>
      <c r="AD8" s="93" t="e">
        <f t="shared" si="10"/>
        <v>#DIV/0!</v>
      </c>
      <c r="AE8" s="93">
        <f>+'REVENUE DATA'!$D$8</f>
        <v>350</v>
      </c>
      <c r="AF8" s="74" t="e">
        <f t="shared" si="11"/>
        <v>#DIV/0!</v>
      </c>
      <c r="AG8" s="172" t="e">
        <f t="shared" si="12"/>
        <v>#DIV/0!</v>
      </c>
      <c r="AH8" s="105">
        <f t="shared" si="13"/>
        <v>0</v>
      </c>
      <c r="AI8" s="74">
        <f t="shared" si="14"/>
        <v>0</v>
      </c>
    </row>
    <row r="9" spans="1:36" x14ac:dyDescent="0.3">
      <c r="A9" s="223"/>
      <c r="B9" s="4"/>
      <c r="C9" s="4" t="str">
        <f>+'Project Ostelliere'!C9</f>
        <v>Porta riviste</v>
      </c>
      <c r="D9" s="5">
        <f>+'Finished goods'!B9</f>
        <v>10</v>
      </c>
      <c r="E9" s="5">
        <f>+'Finished goods'!C9</f>
        <v>10</v>
      </c>
      <c r="F9" s="5">
        <f>+'Finished goods'!D9</f>
        <v>0.42</v>
      </c>
      <c r="G9" s="5">
        <f>+'Finished goods'!E9</f>
        <v>42</v>
      </c>
      <c r="H9" s="4">
        <f>+'Finished goods'!F9</f>
        <v>3.5606798E-3</v>
      </c>
      <c r="I9" s="6">
        <f>+'Finished goods'!G9</f>
        <v>9.890777222222221</v>
      </c>
      <c r="J9" s="6">
        <f>+'Finished goods'!H9</f>
        <v>8.9016994999999994</v>
      </c>
      <c r="R9" s="23">
        <v>0</v>
      </c>
      <c r="S9" s="6">
        <f t="shared" si="2"/>
        <v>0</v>
      </c>
      <c r="T9" s="6">
        <f t="shared" si="2"/>
        <v>0</v>
      </c>
      <c r="U9" s="4">
        <f t="shared" si="4"/>
        <v>0</v>
      </c>
      <c r="V9" s="115">
        <f>+S9*$M$3/'COST DATA'!$D$26</f>
        <v>0</v>
      </c>
      <c r="W9" s="16">
        <f t="shared" si="5"/>
        <v>0</v>
      </c>
      <c r="X9" s="27">
        <f t="shared" si="6"/>
        <v>0</v>
      </c>
      <c r="Y9" s="27">
        <f t="shared" si="7"/>
        <v>0</v>
      </c>
      <c r="Z9" s="4">
        <f t="shared" si="8"/>
        <v>0</v>
      </c>
      <c r="AA9" s="82">
        <f>+'Finished goods'!$O$3*'PRIVATE CUSTOMER (BtoC)'!T9</f>
        <v>0</v>
      </c>
      <c r="AB9" s="82">
        <f>+'Finished goods'!$P$9*R9</f>
        <v>0</v>
      </c>
      <c r="AC9" s="83">
        <f t="shared" si="9"/>
        <v>0</v>
      </c>
      <c r="AD9" s="93" t="e">
        <f t="shared" si="10"/>
        <v>#DIV/0!</v>
      </c>
      <c r="AE9" s="93">
        <f>+'REVENUE DATA'!$D$9</f>
        <v>180</v>
      </c>
      <c r="AF9" s="74" t="e">
        <f t="shared" si="11"/>
        <v>#DIV/0!</v>
      </c>
      <c r="AG9" s="172" t="e">
        <f t="shared" si="12"/>
        <v>#DIV/0!</v>
      </c>
      <c r="AH9" s="105">
        <f t="shared" si="13"/>
        <v>0</v>
      </c>
      <c r="AI9" s="74">
        <f t="shared" si="14"/>
        <v>0</v>
      </c>
    </row>
    <row r="10" spans="1:36" x14ac:dyDescent="0.3">
      <c r="A10" s="223"/>
      <c r="B10" s="4"/>
      <c r="C10" s="4" t="str">
        <f>+'Project Ostelliere'!C10</f>
        <v>Lampada 90 grossa</v>
      </c>
      <c r="D10" s="5">
        <f>+'Finished goods'!B10</f>
        <v>8</v>
      </c>
      <c r="E10" s="5">
        <f>+'Finished goods'!C10</f>
        <v>10</v>
      </c>
      <c r="F10" s="5">
        <f>+'Finished goods'!D10</f>
        <v>1.39</v>
      </c>
      <c r="G10" s="5">
        <f>+'Finished goods'!E10</f>
        <v>99</v>
      </c>
      <c r="H10" s="4">
        <f>+'Finished goods'!F10</f>
        <v>1.7366300000000001E-3</v>
      </c>
      <c r="I10" s="6">
        <f>+'Finished goods'!G10</f>
        <v>4.8239722222222232</v>
      </c>
      <c r="J10" s="6">
        <f>+'Finished goods'!H10</f>
        <v>4.3415750000000006</v>
      </c>
      <c r="R10" s="23">
        <v>0</v>
      </c>
      <c r="S10" s="6">
        <f t="shared" si="2"/>
        <v>0</v>
      </c>
      <c r="T10" s="6">
        <f t="shared" si="2"/>
        <v>0</v>
      </c>
      <c r="U10" s="4">
        <f t="shared" si="4"/>
        <v>0</v>
      </c>
      <c r="V10" s="115">
        <f>+S10*$M$3/'COST DATA'!$D$26</f>
        <v>0</v>
      </c>
      <c r="W10" s="16">
        <f t="shared" si="5"/>
        <v>0</v>
      </c>
      <c r="X10" s="27">
        <f t="shared" si="6"/>
        <v>0</v>
      </c>
      <c r="Y10" s="27">
        <f t="shared" si="7"/>
        <v>0</v>
      </c>
      <c r="Z10" s="4">
        <f t="shared" si="8"/>
        <v>0</v>
      </c>
      <c r="AA10" s="82">
        <f>+'Finished goods'!$O$3*'PRIVATE CUSTOMER (BtoC)'!T10</f>
        <v>0</v>
      </c>
      <c r="AB10" s="82">
        <f>+'Finished goods'!$P$10*R10</f>
        <v>0</v>
      </c>
      <c r="AC10" s="83">
        <f t="shared" si="9"/>
        <v>0</v>
      </c>
      <c r="AD10" s="93" t="e">
        <f t="shared" si="10"/>
        <v>#DIV/0!</v>
      </c>
      <c r="AE10" s="93">
        <f>+'REVENUE DATA'!$D$10</f>
        <v>450</v>
      </c>
      <c r="AF10" s="74" t="e">
        <f t="shared" si="11"/>
        <v>#DIV/0!</v>
      </c>
      <c r="AG10" s="172" t="e">
        <f t="shared" si="12"/>
        <v>#DIV/0!</v>
      </c>
      <c r="AH10" s="105">
        <f t="shared" si="13"/>
        <v>0</v>
      </c>
      <c r="AI10" s="74">
        <f t="shared" si="14"/>
        <v>0</v>
      </c>
    </row>
    <row r="11" spans="1:36" x14ac:dyDescent="0.3">
      <c r="A11" s="223"/>
      <c r="B11" s="4"/>
      <c r="C11" s="4" t="str">
        <f>+'Project Ostelliere'!C11</f>
        <v>Lampada 90 piccola</v>
      </c>
      <c r="D11" s="5">
        <f>+'Finished goods'!B11</f>
        <v>5</v>
      </c>
      <c r="E11" s="5">
        <f>+'Finished goods'!C11</f>
        <v>10</v>
      </c>
      <c r="F11" s="5">
        <f>+'Finished goods'!D11</f>
        <v>1.1499999999999999</v>
      </c>
      <c r="G11" s="5">
        <f>+'Finished goods'!E11</f>
        <v>75</v>
      </c>
      <c r="H11" s="4">
        <f>+'Finished goods'!F11</f>
        <v>8.1557296000000004E-4</v>
      </c>
      <c r="I11" s="6">
        <f>+'Finished goods'!G11</f>
        <v>2.2654804444444445</v>
      </c>
      <c r="J11" s="6">
        <f>+'Finished goods'!H11</f>
        <v>2.0389324000000002</v>
      </c>
      <c r="R11" s="23">
        <v>0</v>
      </c>
      <c r="S11" s="6">
        <f t="shared" si="2"/>
        <v>0</v>
      </c>
      <c r="T11" s="6">
        <f t="shared" si="2"/>
        <v>0</v>
      </c>
      <c r="U11" s="4">
        <f t="shared" si="4"/>
        <v>0</v>
      </c>
      <c r="V11" s="115">
        <f>+S11*$M$3/'COST DATA'!$D$26</f>
        <v>0</v>
      </c>
      <c r="W11" s="16">
        <f t="shared" si="5"/>
        <v>0</v>
      </c>
      <c r="X11" s="27">
        <f t="shared" si="6"/>
        <v>0</v>
      </c>
      <c r="Y11" s="27">
        <f t="shared" si="7"/>
        <v>0</v>
      </c>
      <c r="Z11" s="4">
        <f t="shared" si="8"/>
        <v>0</v>
      </c>
      <c r="AA11" s="82">
        <f>+'Finished goods'!$O$3*'PRIVATE CUSTOMER (BtoC)'!T11</f>
        <v>0</v>
      </c>
      <c r="AB11" s="82">
        <f>+'Finished goods'!$P$11*R11</f>
        <v>0</v>
      </c>
      <c r="AC11" s="83">
        <f t="shared" si="9"/>
        <v>0</v>
      </c>
      <c r="AD11" s="93" t="e">
        <f t="shared" si="10"/>
        <v>#DIV/0!</v>
      </c>
      <c r="AE11" s="93">
        <f>+'REVENUE DATA'!$D$11</f>
        <v>200</v>
      </c>
      <c r="AF11" s="74" t="e">
        <f t="shared" si="11"/>
        <v>#DIV/0!</v>
      </c>
      <c r="AG11" s="172" t="e">
        <f t="shared" si="12"/>
        <v>#DIV/0!</v>
      </c>
      <c r="AH11" s="105">
        <f t="shared" si="13"/>
        <v>0</v>
      </c>
      <c r="AI11" s="74">
        <f t="shared" si="14"/>
        <v>0</v>
      </c>
    </row>
    <row r="12" spans="1:36" x14ac:dyDescent="0.3">
      <c r="A12" s="223"/>
      <c r="B12" s="4"/>
      <c r="C12" s="4" t="str">
        <f>+'Project Ostelliere'!C12</f>
        <v>Vaso Logo</v>
      </c>
      <c r="D12" s="5">
        <f>+'Finished goods'!B12</f>
        <v>5</v>
      </c>
      <c r="E12" s="5">
        <f>+'Finished goods'!C12</f>
        <v>10</v>
      </c>
      <c r="F12" s="5">
        <f>+'Finished goods'!D12</f>
        <v>0.39</v>
      </c>
      <c r="G12" s="5">
        <f>+'Finished goods'!E12</f>
        <v>39</v>
      </c>
      <c r="H12" s="4">
        <f>+'Finished goods'!F12</f>
        <v>1.1639584900000001E-3</v>
      </c>
      <c r="I12" s="6">
        <f>+'Finished goods'!G12</f>
        <v>3.2332180277777778</v>
      </c>
      <c r="J12" s="6">
        <f>+'Finished goods'!H12</f>
        <v>2.9098962250000002</v>
      </c>
      <c r="R12" s="23">
        <v>0</v>
      </c>
      <c r="S12" s="6">
        <f t="shared" si="2"/>
        <v>0</v>
      </c>
      <c r="T12" s="6">
        <f t="shared" si="2"/>
        <v>0</v>
      </c>
      <c r="U12" s="4">
        <f t="shared" si="4"/>
        <v>0</v>
      </c>
      <c r="V12" s="115">
        <f>+S12*$M$3/'COST DATA'!$D$26</f>
        <v>0</v>
      </c>
      <c r="W12" s="16">
        <f t="shared" si="5"/>
        <v>0</v>
      </c>
      <c r="X12" s="27">
        <f t="shared" si="6"/>
        <v>0</v>
      </c>
      <c r="Y12" s="27">
        <f t="shared" si="7"/>
        <v>0</v>
      </c>
      <c r="Z12" s="4">
        <f t="shared" si="8"/>
        <v>0</v>
      </c>
      <c r="AA12" s="82">
        <f>+'Finished goods'!$O$3*'PRIVATE CUSTOMER (BtoC)'!T12</f>
        <v>0</v>
      </c>
      <c r="AB12" s="82">
        <f>+'Finished goods'!$P$12*R12</f>
        <v>0</v>
      </c>
      <c r="AC12" s="83">
        <f t="shared" si="9"/>
        <v>0</v>
      </c>
      <c r="AD12" s="93" t="e">
        <f t="shared" si="10"/>
        <v>#DIV/0!</v>
      </c>
      <c r="AE12" s="93">
        <f>+'REVENUE DATA'!$D$12</f>
        <v>350</v>
      </c>
      <c r="AF12" s="74" t="e">
        <f t="shared" si="11"/>
        <v>#DIV/0!</v>
      </c>
      <c r="AG12" s="172" t="e">
        <f t="shared" si="12"/>
        <v>#DIV/0!</v>
      </c>
      <c r="AH12" s="105">
        <f t="shared" si="13"/>
        <v>0</v>
      </c>
      <c r="AI12" s="74">
        <f t="shared" si="14"/>
        <v>0</v>
      </c>
    </row>
    <row r="13" spans="1:36" x14ac:dyDescent="0.3">
      <c r="A13" s="223"/>
      <c r="B13" s="4"/>
      <c r="C13" s="4" t="str">
        <f>+'Project Ostelliere'!C13</f>
        <v>Copri candela</v>
      </c>
      <c r="D13" s="5">
        <f>+'Finished goods'!B13</f>
        <v>4</v>
      </c>
      <c r="E13" s="5">
        <f>+'Finished goods'!C13</f>
        <v>5</v>
      </c>
      <c r="F13" s="5">
        <f>+'Finished goods'!D13</f>
        <v>0.34</v>
      </c>
      <c r="G13" s="5">
        <f>+'Finished goods'!E13</f>
        <v>34</v>
      </c>
      <c r="H13" s="4">
        <f>+'Finished goods'!F13</f>
        <v>2.3780405299999999E-4</v>
      </c>
      <c r="I13" s="6">
        <f>+'Finished goods'!G13</f>
        <v>0.66056681388888883</v>
      </c>
      <c r="J13" s="6">
        <f>+'Finished goods'!H13</f>
        <v>0.59451013249999995</v>
      </c>
      <c r="R13" s="23">
        <v>0</v>
      </c>
      <c r="S13" s="6">
        <f t="shared" si="2"/>
        <v>0</v>
      </c>
      <c r="T13" s="6">
        <f t="shared" si="2"/>
        <v>0</v>
      </c>
      <c r="U13" s="4">
        <f t="shared" si="4"/>
        <v>0</v>
      </c>
      <c r="V13" s="115">
        <f>+S13*$M$3/'COST DATA'!$D$26</f>
        <v>0</v>
      </c>
      <c r="W13" s="16">
        <f t="shared" si="5"/>
        <v>0</v>
      </c>
      <c r="X13" s="27">
        <f t="shared" si="6"/>
        <v>0</v>
      </c>
      <c r="Y13" s="27">
        <f t="shared" si="7"/>
        <v>0</v>
      </c>
      <c r="Z13" s="4">
        <f t="shared" si="8"/>
        <v>0</v>
      </c>
      <c r="AA13" s="82">
        <f>+'Finished goods'!$O$3*'PRIVATE CUSTOMER (BtoC)'!T13</f>
        <v>0</v>
      </c>
      <c r="AB13" s="82">
        <f>+'Finished goods'!$P$13*R13</f>
        <v>0</v>
      </c>
      <c r="AC13" s="83">
        <f t="shared" si="9"/>
        <v>0</v>
      </c>
      <c r="AD13" s="93" t="e">
        <f t="shared" si="10"/>
        <v>#DIV/0!</v>
      </c>
      <c r="AE13" s="93">
        <f>+'REVENUE DATA'!$D$13</f>
        <v>75</v>
      </c>
      <c r="AF13" s="74" t="e">
        <f t="shared" si="11"/>
        <v>#DIV/0!</v>
      </c>
      <c r="AG13" s="172" t="e">
        <f t="shared" si="12"/>
        <v>#DIV/0!</v>
      </c>
      <c r="AH13" s="105">
        <f t="shared" si="13"/>
        <v>0</v>
      </c>
      <c r="AI13" s="74">
        <f t="shared" si="14"/>
        <v>0</v>
      </c>
    </row>
    <row r="14" spans="1:36" x14ac:dyDescent="0.3">
      <c r="A14" s="223"/>
      <c r="B14" s="4"/>
      <c r="C14" s="4" t="str">
        <f>+'Project Ostelliere'!C14</f>
        <v xml:space="preserve">Vaso Grosso </v>
      </c>
      <c r="D14" s="5">
        <f>+'Finished goods'!B14</f>
        <v>4</v>
      </c>
      <c r="E14" s="5">
        <f>+'Finished goods'!C14</f>
        <v>5</v>
      </c>
      <c r="F14" s="5">
        <f>+'Finished goods'!D14</f>
        <v>1.31</v>
      </c>
      <c r="G14" s="5">
        <f>+'Finished goods'!E14</f>
        <v>91</v>
      </c>
      <c r="H14" s="4">
        <f>+'Finished goods'!F14</f>
        <v>9.52764444E-4</v>
      </c>
      <c r="I14" s="6">
        <f>+'Finished goods'!G14</f>
        <v>2.6465679</v>
      </c>
      <c r="J14" s="6">
        <f>+'Finished goods'!H14</f>
        <v>2.3819111099999999</v>
      </c>
      <c r="R14" s="23">
        <v>0</v>
      </c>
      <c r="S14" s="6">
        <f t="shared" si="2"/>
        <v>0</v>
      </c>
      <c r="T14" s="6">
        <f t="shared" si="2"/>
        <v>0</v>
      </c>
      <c r="U14" s="4">
        <f t="shared" si="4"/>
        <v>0</v>
      </c>
      <c r="V14" s="115">
        <f>+S14*$M$3/'COST DATA'!$D$26</f>
        <v>0</v>
      </c>
      <c r="W14" s="16">
        <f t="shared" si="5"/>
        <v>0</v>
      </c>
      <c r="X14" s="27">
        <f t="shared" si="6"/>
        <v>0</v>
      </c>
      <c r="Y14" s="27">
        <f t="shared" si="7"/>
        <v>0</v>
      </c>
      <c r="Z14" s="4">
        <f t="shared" si="8"/>
        <v>0</v>
      </c>
      <c r="AA14" s="82">
        <f>+'Finished goods'!$O$3*'PRIVATE CUSTOMER (BtoC)'!T14</f>
        <v>0</v>
      </c>
      <c r="AB14" s="82">
        <f>+'Finished goods'!$P$14*R14</f>
        <v>0</v>
      </c>
      <c r="AC14" s="83">
        <f t="shared" si="9"/>
        <v>0</v>
      </c>
      <c r="AD14" s="93" t="e">
        <f t="shared" si="10"/>
        <v>#DIV/0!</v>
      </c>
      <c r="AE14" s="93">
        <f>+'REVENUE DATA'!$D$14</f>
        <v>250</v>
      </c>
      <c r="AF14" s="74" t="e">
        <f t="shared" si="11"/>
        <v>#DIV/0!</v>
      </c>
      <c r="AG14" s="172" t="e">
        <f t="shared" si="12"/>
        <v>#DIV/0!</v>
      </c>
      <c r="AH14" s="105">
        <f t="shared" si="13"/>
        <v>0</v>
      </c>
      <c r="AI14" s="74">
        <f t="shared" si="14"/>
        <v>0</v>
      </c>
    </row>
    <row r="15" spans="1:36" x14ac:dyDescent="0.3">
      <c r="A15" s="223"/>
      <c r="B15" s="4"/>
      <c r="C15" s="4" t="str">
        <f>+'Project Orto'!C5</f>
        <v>Bicchiere curve dritto</v>
      </c>
      <c r="D15" s="5">
        <f>+'Finished goods'!B15</f>
        <v>2</v>
      </c>
      <c r="E15" s="5">
        <f>+'Finished goods'!C15</f>
        <v>2</v>
      </c>
      <c r="F15" s="5">
        <f>+'Finished goods'!D15</f>
        <v>0.26</v>
      </c>
      <c r="G15" s="5">
        <f>+'Finished goods'!E15</f>
        <v>26</v>
      </c>
      <c r="H15" s="4">
        <f>+'Finished goods'!F15</f>
        <v>1.6928511099999999E-4</v>
      </c>
      <c r="I15" s="6">
        <f>+'Finished goods'!G15</f>
        <v>0.47023641944444439</v>
      </c>
      <c r="J15" s="6">
        <f>+'Finished goods'!H15</f>
        <v>0.42321277749999997</v>
      </c>
      <c r="R15" s="23">
        <v>0</v>
      </c>
      <c r="S15" s="6">
        <f t="shared" si="2"/>
        <v>0</v>
      </c>
      <c r="T15" s="6">
        <f t="shared" si="2"/>
        <v>0</v>
      </c>
      <c r="U15" s="4">
        <f t="shared" si="4"/>
        <v>0</v>
      </c>
      <c r="V15" s="115">
        <f>+S15*$M$3/'COST DATA'!$D$26</f>
        <v>0</v>
      </c>
      <c r="W15" s="16">
        <f t="shared" si="5"/>
        <v>0</v>
      </c>
      <c r="X15" s="27">
        <f t="shared" si="6"/>
        <v>0</v>
      </c>
      <c r="Y15" s="27">
        <f t="shared" si="7"/>
        <v>0</v>
      </c>
      <c r="Z15" s="4">
        <f t="shared" si="8"/>
        <v>0</v>
      </c>
      <c r="AA15" s="82">
        <f>+'Finished goods'!$O$3*'PRIVATE CUSTOMER (BtoC)'!T15</f>
        <v>0</v>
      </c>
      <c r="AB15" s="82">
        <f>+'Finished goods'!$P$15*R15</f>
        <v>0</v>
      </c>
      <c r="AC15" s="83">
        <f t="shared" si="9"/>
        <v>0</v>
      </c>
      <c r="AD15" s="93" t="e">
        <f t="shared" si="10"/>
        <v>#DIV/0!</v>
      </c>
      <c r="AE15" s="93">
        <f>+'REVENUE DATA'!$D$15</f>
        <v>0</v>
      </c>
      <c r="AF15" s="74" t="e">
        <f t="shared" si="11"/>
        <v>#DIV/0!</v>
      </c>
      <c r="AG15" s="172" t="e">
        <f t="shared" si="12"/>
        <v>#DIV/0!</v>
      </c>
      <c r="AH15" s="105">
        <f t="shared" si="13"/>
        <v>0</v>
      </c>
      <c r="AI15" s="74">
        <f t="shared" si="14"/>
        <v>0</v>
      </c>
    </row>
    <row r="16" spans="1:36" x14ac:dyDescent="0.3">
      <c r="A16" s="223"/>
      <c r="B16" s="4"/>
      <c r="C16" s="4" t="str">
        <f>+'Project Orto'!C6</f>
        <v>Bicchiere curve twist</v>
      </c>
      <c r="D16" s="5">
        <f>+'Finished goods'!B16</f>
        <v>2</v>
      </c>
      <c r="E16" s="5">
        <f>+'Finished goods'!C16</f>
        <v>2</v>
      </c>
      <c r="F16" s="5">
        <f>+'Finished goods'!D16</f>
        <v>0.25</v>
      </c>
      <c r="G16" s="5">
        <f>+'Finished goods'!E16</f>
        <v>25</v>
      </c>
      <c r="H16" s="4">
        <f>+'Finished goods'!F16</f>
        <v>1.69285896E-4</v>
      </c>
      <c r="I16" s="6">
        <f>+'Finished goods'!G16</f>
        <v>0.47023859999999995</v>
      </c>
      <c r="J16" s="6">
        <f>+'Finished goods'!H16</f>
        <v>0.42321473999999998</v>
      </c>
      <c r="R16" s="23">
        <v>0</v>
      </c>
      <c r="S16" s="6">
        <f t="shared" si="2"/>
        <v>0</v>
      </c>
      <c r="T16" s="6">
        <f t="shared" si="2"/>
        <v>0</v>
      </c>
      <c r="U16" s="4">
        <f t="shared" si="4"/>
        <v>0</v>
      </c>
      <c r="V16" s="115">
        <f>+S16*$M$3/'COST DATA'!$D$26</f>
        <v>0</v>
      </c>
      <c r="W16" s="16">
        <f t="shared" si="5"/>
        <v>0</v>
      </c>
      <c r="X16" s="27">
        <f t="shared" si="6"/>
        <v>0</v>
      </c>
      <c r="Y16" s="27">
        <f t="shared" si="7"/>
        <v>0</v>
      </c>
      <c r="Z16" s="4">
        <f t="shared" si="8"/>
        <v>0</v>
      </c>
      <c r="AA16" s="82">
        <f>+'Finished goods'!$O$3*'PRIVATE CUSTOMER (BtoC)'!T16</f>
        <v>0</v>
      </c>
      <c r="AB16" s="82">
        <f>+'Finished goods'!$P$16*R16</f>
        <v>0</v>
      </c>
      <c r="AC16" s="83">
        <f t="shared" si="9"/>
        <v>0</v>
      </c>
      <c r="AD16" s="93" t="e">
        <f t="shared" si="10"/>
        <v>#DIV/0!</v>
      </c>
      <c r="AE16" s="93">
        <f>+'REVENUE DATA'!$D$16</f>
        <v>0</v>
      </c>
      <c r="AF16" s="74" t="e">
        <f t="shared" si="11"/>
        <v>#DIV/0!</v>
      </c>
      <c r="AG16" s="172" t="e">
        <f t="shared" si="12"/>
        <v>#DIV/0!</v>
      </c>
      <c r="AH16" s="105">
        <f t="shared" si="13"/>
        <v>0</v>
      </c>
      <c r="AI16" s="74">
        <f t="shared" si="14"/>
        <v>0</v>
      </c>
    </row>
    <row r="17" spans="1:35" x14ac:dyDescent="0.3">
      <c r="A17" s="223"/>
      <c r="B17" s="4"/>
      <c r="C17" s="4" t="str">
        <f>+'Project Orto'!C7</f>
        <v>Caraffa curva</v>
      </c>
      <c r="D17" s="5">
        <f>+'Finished goods'!B17</f>
        <v>2</v>
      </c>
      <c r="E17" s="5">
        <f>+'Finished goods'!C17</f>
        <v>2</v>
      </c>
      <c r="F17" s="5">
        <f>+'Finished goods'!D17</f>
        <v>0.56999999999999995</v>
      </c>
      <c r="G17" s="5">
        <f>+'Finished goods'!E17</f>
        <v>57</v>
      </c>
      <c r="H17" s="4">
        <f>+'Finished goods'!F17</f>
        <v>3.69342133E-4</v>
      </c>
      <c r="I17" s="6">
        <f>+'Finished goods'!G17</f>
        <v>1.0259503694444445</v>
      </c>
      <c r="J17" s="6">
        <f>+'Finished goods'!H17</f>
        <v>0.92335533250000001</v>
      </c>
      <c r="R17" s="23">
        <v>0</v>
      </c>
      <c r="S17" s="6">
        <f t="shared" si="2"/>
        <v>0</v>
      </c>
      <c r="T17" s="6">
        <f t="shared" si="2"/>
        <v>0</v>
      </c>
      <c r="U17" s="4">
        <f t="shared" si="4"/>
        <v>0</v>
      </c>
      <c r="V17" s="115">
        <f>+S17*$M$3/'COST DATA'!$D$26</f>
        <v>0</v>
      </c>
      <c r="W17" s="16">
        <f>+U17*$N$3</f>
        <v>0</v>
      </c>
      <c r="X17" s="27">
        <f t="shared" si="6"/>
        <v>0</v>
      </c>
      <c r="Y17" s="27">
        <f t="shared" si="7"/>
        <v>0</v>
      </c>
      <c r="Z17" s="4">
        <f t="shared" si="8"/>
        <v>0</v>
      </c>
      <c r="AA17" s="82">
        <f>+'Finished goods'!$O$3*'PRIVATE CUSTOMER (BtoC)'!T17</f>
        <v>0</v>
      </c>
      <c r="AB17" s="82">
        <f>+'Finished goods'!$P$17*R17</f>
        <v>0</v>
      </c>
      <c r="AC17" s="83">
        <f t="shared" si="9"/>
        <v>0</v>
      </c>
      <c r="AD17" s="93" t="e">
        <f t="shared" si="10"/>
        <v>#DIV/0!</v>
      </c>
      <c r="AE17" s="93">
        <f>+'REVENUE DATA'!$D$17</f>
        <v>30</v>
      </c>
      <c r="AF17" s="74" t="e">
        <f t="shared" si="11"/>
        <v>#DIV/0!</v>
      </c>
      <c r="AG17" s="172" t="e">
        <f t="shared" si="12"/>
        <v>#DIV/0!</v>
      </c>
      <c r="AH17" s="105">
        <f t="shared" si="13"/>
        <v>0</v>
      </c>
      <c r="AI17" s="74">
        <f t="shared" si="14"/>
        <v>0</v>
      </c>
    </row>
    <row r="18" spans="1:35" x14ac:dyDescent="0.3">
      <c r="A18" s="223"/>
      <c r="B18" s="4"/>
      <c r="C18" s="4" t="str">
        <f>+'Project Orto'!C8</f>
        <v>Caraffa colonna dritta</v>
      </c>
      <c r="D18" s="5">
        <f>+'Finished goods'!B18</f>
        <v>2</v>
      </c>
      <c r="E18" s="5">
        <f>+'Finished goods'!C18</f>
        <v>1</v>
      </c>
      <c r="F18" s="5">
        <f>+'Finished goods'!D18</f>
        <v>1.4</v>
      </c>
      <c r="G18" s="5">
        <f>+'Finished goods'!E18</f>
        <v>100</v>
      </c>
      <c r="H18" s="4">
        <f>+'Finished goods'!F18</f>
        <v>3.2796365999999998E-4</v>
      </c>
      <c r="I18" s="6">
        <f>+'Finished goods'!G18</f>
        <v>0.91101016666666657</v>
      </c>
      <c r="J18" s="6">
        <f>+'Finished goods'!H18</f>
        <v>0.81990914999999998</v>
      </c>
      <c r="R18" s="23">
        <v>0</v>
      </c>
      <c r="S18" s="6">
        <f t="shared" si="2"/>
        <v>0</v>
      </c>
      <c r="T18" s="6">
        <f t="shared" si="2"/>
        <v>0</v>
      </c>
      <c r="U18" s="4">
        <f t="shared" si="4"/>
        <v>0</v>
      </c>
      <c r="V18" s="115">
        <f>+S18*$M$3/'COST DATA'!$D$26</f>
        <v>0</v>
      </c>
      <c r="W18" s="16">
        <f t="shared" si="5"/>
        <v>0</v>
      </c>
      <c r="X18" s="27">
        <f t="shared" si="6"/>
        <v>0</v>
      </c>
      <c r="Y18" s="27">
        <f t="shared" si="7"/>
        <v>0</v>
      </c>
      <c r="Z18" s="4">
        <f t="shared" si="8"/>
        <v>0</v>
      </c>
      <c r="AA18" s="82">
        <f>+'Finished goods'!$O$3*'PRIVATE CUSTOMER (BtoC)'!T18</f>
        <v>0</v>
      </c>
      <c r="AB18" s="82">
        <f>+'Finished goods'!$P$18*R18</f>
        <v>0</v>
      </c>
      <c r="AC18" s="83">
        <f t="shared" si="9"/>
        <v>0</v>
      </c>
      <c r="AD18" s="93" t="e">
        <f t="shared" si="10"/>
        <v>#DIV/0!</v>
      </c>
      <c r="AE18" s="93">
        <f>+'REVENUE DATA'!$D$18</f>
        <v>30</v>
      </c>
      <c r="AF18" s="74" t="e">
        <f t="shared" si="11"/>
        <v>#DIV/0!</v>
      </c>
      <c r="AG18" s="172" t="e">
        <f t="shared" si="12"/>
        <v>#DIV/0!</v>
      </c>
      <c r="AH18" s="105">
        <f t="shared" si="13"/>
        <v>0</v>
      </c>
      <c r="AI18" s="74">
        <f t="shared" si="14"/>
        <v>0</v>
      </c>
    </row>
    <row r="19" spans="1:35" x14ac:dyDescent="0.3">
      <c r="A19" s="223"/>
      <c r="B19" s="4"/>
      <c r="C19" s="4" t="str">
        <f>+'Project Orto'!C9</f>
        <v>Caraffa colonna twist1</v>
      </c>
      <c r="D19" s="5">
        <f>+'Finished goods'!B19</f>
        <v>2</v>
      </c>
      <c r="E19" s="5">
        <f>+'Finished goods'!C19</f>
        <v>1</v>
      </c>
      <c r="F19" s="5">
        <f>+'Finished goods'!D19</f>
        <v>1.41</v>
      </c>
      <c r="G19" s="5">
        <f>+'Finished goods'!E19</f>
        <v>101</v>
      </c>
      <c r="H19" s="4">
        <f>+'Finished goods'!F19</f>
        <v>3.323221E-4</v>
      </c>
      <c r="I19" s="6">
        <f>+'Finished goods'!G19</f>
        <v>0.92311694444444448</v>
      </c>
      <c r="J19" s="6">
        <f>+'Finished goods'!H19</f>
        <v>0.83080525000000005</v>
      </c>
      <c r="R19" s="23">
        <v>2</v>
      </c>
      <c r="S19" s="6">
        <f t="shared" si="2"/>
        <v>202</v>
      </c>
      <c r="T19" s="6">
        <f t="shared" si="2"/>
        <v>6.646442E-4</v>
      </c>
      <c r="U19" s="4">
        <f t="shared" si="4"/>
        <v>1.6616105000000001</v>
      </c>
      <c r="V19" s="115">
        <f>+S19*$M$3/'COST DATA'!$D$26</f>
        <v>1.7093479012837065</v>
      </c>
      <c r="W19" s="16">
        <f t="shared" si="5"/>
        <v>1.12806736845E-2</v>
      </c>
      <c r="X19" s="27">
        <f t="shared" si="6"/>
        <v>31.815000000000005</v>
      </c>
      <c r="Y19" s="27">
        <f t="shared" si="7"/>
        <v>11.893822393822393</v>
      </c>
      <c r="Z19" s="4">
        <f t="shared" si="8"/>
        <v>0.48095238095238096</v>
      </c>
      <c r="AA19" s="82">
        <f>+'Finished goods'!$O$3*'PRIVATE CUSTOMER (BtoC)'!T19</f>
        <v>7.7046414885618815E-5</v>
      </c>
      <c r="AB19" s="82">
        <f>+'Finished goods'!$P$19*R19</f>
        <v>0</v>
      </c>
      <c r="AC19" s="83">
        <f t="shared" si="9"/>
        <v>45.910480396157872</v>
      </c>
      <c r="AD19" s="93">
        <f t="shared" si="10"/>
        <v>22.955240198078936</v>
      </c>
      <c r="AE19" s="93">
        <f>+'REVENUE DATA'!$D$19</f>
        <v>30</v>
      </c>
      <c r="AF19" s="74">
        <f t="shared" si="11"/>
        <v>7.0447598019210638</v>
      </c>
      <c r="AG19" s="172">
        <f t="shared" si="12"/>
        <v>0.30689113863032552</v>
      </c>
      <c r="AH19" s="105">
        <f t="shared" si="13"/>
        <v>60</v>
      </c>
      <c r="AI19" s="74">
        <f t="shared" si="14"/>
        <v>14.089519603842128</v>
      </c>
    </row>
    <row r="20" spans="1:35" x14ac:dyDescent="0.3">
      <c r="A20" s="223"/>
      <c r="B20" s="4"/>
      <c r="C20" s="4" t="str">
        <f>+'Project Orto'!C10</f>
        <v>Caraffa colonna twist2</v>
      </c>
      <c r="D20" s="5">
        <f>+'Finished goods'!B20</f>
        <v>2</v>
      </c>
      <c r="E20" s="5">
        <f>+'Finished goods'!C20</f>
        <v>1</v>
      </c>
      <c r="F20" s="5">
        <f>+'Finished goods'!D20</f>
        <v>1.45</v>
      </c>
      <c r="G20" s="5">
        <f>+'Finished goods'!E20</f>
        <v>105</v>
      </c>
      <c r="H20" s="4">
        <f>+'Finished goods'!F20</f>
        <v>3.4271101000000001E-4</v>
      </c>
      <c r="I20" s="6">
        <f>+'Finished goods'!G20</f>
        <v>0.95197502777777776</v>
      </c>
      <c r="J20" s="6">
        <f>+'Finished goods'!H20</f>
        <v>0.85677752500000004</v>
      </c>
      <c r="R20" s="23">
        <v>3</v>
      </c>
      <c r="S20" s="6">
        <f t="shared" si="2"/>
        <v>315</v>
      </c>
      <c r="T20" s="6">
        <f t="shared" si="2"/>
        <v>1.02813303E-3</v>
      </c>
      <c r="U20" s="4">
        <f t="shared" si="4"/>
        <v>2.5703325750000001</v>
      </c>
      <c r="V20" s="115">
        <f>+S20*$M$3/'COST DATA'!$D$26</f>
        <v>2.6655672718038002</v>
      </c>
      <c r="W20" s="16">
        <f t="shared" si="5"/>
        <v>1.7449987851675001E-2</v>
      </c>
      <c r="X20" s="27">
        <f t="shared" si="6"/>
        <v>49.612500000000011</v>
      </c>
      <c r="Y20" s="27">
        <f t="shared" si="7"/>
        <v>18.547297297297298</v>
      </c>
      <c r="Z20" s="4">
        <f t="shared" si="8"/>
        <v>0.75</v>
      </c>
      <c r="AA20" s="82">
        <f>+'Finished goods'!$O$3*'PRIVATE CUSTOMER (BtoC)'!T20</f>
        <v>1.191825099609511E-4</v>
      </c>
      <c r="AB20" s="82">
        <f>+'Finished goods'!$P$20*R20</f>
        <v>0</v>
      </c>
      <c r="AC20" s="83">
        <f t="shared" si="9"/>
        <v>71.592933739462751</v>
      </c>
      <c r="AD20" s="93">
        <f t="shared" si="10"/>
        <v>23.864311246487585</v>
      </c>
      <c r="AE20" s="93">
        <f>+'REVENUE DATA'!$D$20</f>
        <v>30</v>
      </c>
      <c r="AF20" s="74">
        <f t="shared" si="11"/>
        <v>6.1356887535124152</v>
      </c>
      <c r="AG20" s="172">
        <f t="shared" si="12"/>
        <v>0.25710730513605262</v>
      </c>
      <c r="AH20" s="105">
        <f t="shared" si="13"/>
        <v>90</v>
      </c>
      <c r="AI20" s="74">
        <f t="shared" si="14"/>
        <v>18.407066260537249</v>
      </c>
    </row>
    <row r="21" spans="1:35" x14ac:dyDescent="0.3">
      <c r="A21" s="223"/>
      <c r="B21" s="4"/>
      <c r="C21" s="4" t="str">
        <f>+'Project Orto'!C11</f>
        <v>Caraffa colonna twist3</v>
      </c>
      <c r="D21" s="5">
        <f>+'Finished goods'!B21</f>
        <v>2</v>
      </c>
      <c r="E21" s="5">
        <f>+'Finished goods'!C21</f>
        <v>1</v>
      </c>
      <c r="F21" s="5">
        <f>+'Finished goods'!D21</f>
        <v>1.42</v>
      </c>
      <c r="G21" s="5">
        <f>+'Finished goods'!E21</f>
        <v>102</v>
      </c>
      <c r="H21" s="4">
        <f>+'Finished goods'!F21</f>
        <v>3.3727121999999998E-4</v>
      </c>
      <c r="I21" s="6">
        <f>+'Finished goods'!G21</f>
        <v>0.93686449999999988</v>
      </c>
      <c r="J21" s="6">
        <f>+'Finished goods'!H21</f>
        <v>0.8431780499999999</v>
      </c>
      <c r="R21" s="23">
        <v>1</v>
      </c>
      <c r="S21" s="6">
        <f t="shared" si="2"/>
        <v>102</v>
      </c>
      <c r="T21" s="6">
        <f t="shared" si="2"/>
        <v>3.3727121999999998E-4</v>
      </c>
      <c r="U21" s="4">
        <f t="shared" si="4"/>
        <v>0.8431780499999999</v>
      </c>
      <c r="V21" s="115">
        <f>+S21*$M$3/'COST DATA'!$D$26</f>
        <v>0.86313606896504003</v>
      </c>
      <c r="W21" s="16">
        <f t="shared" si="5"/>
        <v>5.724335781449999E-3</v>
      </c>
      <c r="X21" s="27">
        <f t="shared" si="6"/>
        <v>16.065000000000001</v>
      </c>
      <c r="Y21" s="27">
        <f t="shared" si="7"/>
        <v>6.0057915057915059</v>
      </c>
      <c r="Z21" s="4">
        <f t="shared" si="8"/>
        <v>0.24285714285714283</v>
      </c>
      <c r="AA21" s="82">
        <f>+'Finished goods'!$O$3*'PRIVATE CUSTOMER (BtoC)'!T21</f>
        <v>3.9096915831205353E-5</v>
      </c>
      <c r="AB21" s="82">
        <f>+'Finished goods'!$P$21*R21</f>
        <v>0</v>
      </c>
      <c r="AC21" s="83">
        <f t="shared" si="9"/>
        <v>23.182548150310971</v>
      </c>
      <c r="AD21" s="93">
        <f t="shared" si="10"/>
        <v>23.182548150310971</v>
      </c>
      <c r="AE21" s="93">
        <f>+'REVENUE DATA'!$D$21</f>
        <v>30</v>
      </c>
      <c r="AF21" s="74">
        <f t="shared" si="11"/>
        <v>6.8174518496890286</v>
      </c>
      <c r="AG21" s="172">
        <f t="shared" si="12"/>
        <v>0.29407689808238702</v>
      </c>
      <c r="AH21" s="105">
        <f t="shared" si="13"/>
        <v>30</v>
      </c>
      <c r="AI21" s="74">
        <f t="shared" si="14"/>
        <v>6.8174518496890286</v>
      </c>
    </row>
    <row r="22" spans="1:35" x14ac:dyDescent="0.3">
      <c r="A22" s="223"/>
      <c r="B22" s="4"/>
      <c r="C22" s="4" t="str">
        <f>+'Project Orto'!C12</f>
        <v>Bicchiere colonna twist1</v>
      </c>
      <c r="D22" s="5">
        <f>+'Finished goods'!B22</f>
        <v>1</v>
      </c>
      <c r="E22" s="5">
        <f>+'Finished goods'!C22</f>
        <v>1</v>
      </c>
      <c r="F22" s="5">
        <f>+'Finished goods'!D22</f>
        <v>0.57999999999999996</v>
      </c>
      <c r="G22" s="5">
        <f>+'Finished goods'!E22</f>
        <v>58</v>
      </c>
      <c r="H22" s="4">
        <f>+'Finished goods'!F22</f>
        <v>9.7981700000000004E-5</v>
      </c>
      <c r="I22" s="6">
        <f>+'Finished goods'!G22</f>
        <v>0.27217138888888892</v>
      </c>
      <c r="J22" s="6">
        <f>+'Finished goods'!H22</f>
        <v>0.24495425000000001</v>
      </c>
      <c r="R22" s="23">
        <v>0</v>
      </c>
      <c r="S22" s="6">
        <f t="shared" si="2"/>
        <v>0</v>
      </c>
      <c r="T22" s="6">
        <f t="shared" si="2"/>
        <v>0</v>
      </c>
      <c r="U22" s="4">
        <f t="shared" si="4"/>
        <v>0</v>
      </c>
      <c r="V22" s="115">
        <f>+S22*$M$3/'COST DATA'!$D$26</f>
        <v>0</v>
      </c>
      <c r="W22" s="16">
        <f t="shared" si="5"/>
        <v>0</v>
      </c>
      <c r="X22" s="27">
        <f t="shared" si="6"/>
        <v>0</v>
      </c>
      <c r="Y22" s="27">
        <f t="shared" si="7"/>
        <v>0</v>
      </c>
      <c r="Z22" s="4">
        <f t="shared" si="8"/>
        <v>0</v>
      </c>
      <c r="AA22" s="82">
        <f>+'Finished goods'!$O$3*'PRIVATE CUSTOMER (BtoC)'!T22</f>
        <v>0</v>
      </c>
      <c r="AB22" s="82">
        <f>+'Finished goods'!$P$22*R22</f>
        <v>0</v>
      </c>
      <c r="AC22" s="83">
        <f t="shared" si="9"/>
        <v>0</v>
      </c>
      <c r="AD22" s="93" t="e">
        <f t="shared" si="10"/>
        <v>#DIV/0!</v>
      </c>
      <c r="AE22" s="93">
        <f>+'REVENUE DATA'!$D$22</f>
        <v>0</v>
      </c>
      <c r="AF22" s="74" t="e">
        <f t="shared" si="11"/>
        <v>#DIV/0!</v>
      </c>
      <c r="AG22" s="172" t="e">
        <f t="shared" si="12"/>
        <v>#DIV/0!</v>
      </c>
      <c r="AH22" s="105">
        <f t="shared" si="13"/>
        <v>0</v>
      </c>
      <c r="AI22" s="74">
        <f t="shared" si="14"/>
        <v>0</v>
      </c>
    </row>
    <row r="23" spans="1:35" x14ac:dyDescent="0.3">
      <c r="A23" s="223"/>
      <c r="B23" s="4"/>
      <c r="C23" s="4" t="str">
        <f>+'Project Orto'!C13</f>
        <v>Bicchiere colonna twist2</v>
      </c>
      <c r="D23" s="5">
        <f>+'Finished goods'!B23</f>
        <v>1</v>
      </c>
      <c r="E23" s="5">
        <f>+'Finished goods'!C23</f>
        <v>1</v>
      </c>
      <c r="F23" s="5">
        <f>+'Finished goods'!D23</f>
        <v>0.59</v>
      </c>
      <c r="G23" s="5">
        <f>+'Finished goods'!E23</f>
        <v>59</v>
      </c>
      <c r="H23" s="4">
        <f>+'Finished goods'!F23</f>
        <v>9.7982366999999995E-5</v>
      </c>
      <c r="I23" s="6">
        <f>+'Finished goods'!G23</f>
        <v>0.27217324166666662</v>
      </c>
      <c r="J23" s="6">
        <f>+'Finished goods'!H23</f>
        <v>0.24495591749999998</v>
      </c>
      <c r="R23" s="23">
        <v>0</v>
      </c>
      <c r="S23" s="6">
        <f t="shared" si="2"/>
        <v>0</v>
      </c>
      <c r="T23" s="6">
        <f t="shared" si="2"/>
        <v>0</v>
      </c>
      <c r="U23" s="4">
        <f t="shared" si="4"/>
        <v>0</v>
      </c>
      <c r="V23" s="115">
        <f>+S23*$M$3/'COST DATA'!$D$26</f>
        <v>0</v>
      </c>
      <c r="W23" s="16">
        <f t="shared" si="5"/>
        <v>0</v>
      </c>
      <c r="X23" s="27">
        <f t="shared" si="6"/>
        <v>0</v>
      </c>
      <c r="Y23" s="27">
        <f t="shared" si="7"/>
        <v>0</v>
      </c>
      <c r="Z23" s="4">
        <f t="shared" si="8"/>
        <v>0</v>
      </c>
      <c r="AA23" s="82">
        <f>+'Finished goods'!$O$3*'PRIVATE CUSTOMER (BtoC)'!T23</f>
        <v>0</v>
      </c>
      <c r="AB23" s="82">
        <f>+'Finished goods'!$P$23*R23</f>
        <v>0</v>
      </c>
      <c r="AC23" s="83">
        <f t="shared" si="9"/>
        <v>0</v>
      </c>
      <c r="AD23" s="93" t="e">
        <f t="shared" si="10"/>
        <v>#DIV/0!</v>
      </c>
      <c r="AE23" s="93">
        <f>+'REVENUE DATA'!$D$23</f>
        <v>0</v>
      </c>
      <c r="AF23" s="74" t="e">
        <f t="shared" si="11"/>
        <v>#DIV/0!</v>
      </c>
      <c r="AG23" s="172" t="e">
        <f t="shared" si="12"/>
        <v>#DIV/0!</v>
      </c>
      <c r="AH23" s="105">
        <f t="shared" si="13"/>
        <v>0</v>
      </c>
      <c r="AI23" s="74">
        <f t="shared" si="14"/>
        <v>0</v>
      </c>
    </row>
    <row r="24" spans="1:35" x14ac:dyDescent="0.3">
      <c r="A24" s="223"/>
      <c r="B24" s="4"/>
      <c r="C24" s="4" t="str">
        <f>+'Project Orto'!C14</f>
        <v>Bicchiere colonna twist3</v>
      </c>
      <c r="D24" s="5">
        <f>+'Finished goods'!B24</f>
        <v>1</v>
      </c>
      <c r="E24" s="5">
        <f>+'Finished goods'!C24</f>
        <v>1</v>
      </c>
      <c r="F24" s="5">
        <f>+'Finished goods'!D24</f>
        <v>0.59</v>
      </c>
      <c r="G24" s="5">
        <f>+'Finished goods'!E24</f>
        <v>59</v>
      </c>
      <c r="H24" s="4">
        <f>+'Finished goods'!F24</f>
        <v>9.7984652999999995E-5</v>
      </c>
      <c r="I24" s="6">
        <f>+'Finished goods'!G24</f>
        <v>0.27217959166666666</v>
      </c>
      <c r="J24" s="6">
        <f>+'Finished goods'!H24</f>
        <v>0.2449616325</v>
      </c>
      <c r="R24" s="23">
        <v>0</v>
      </c>
      <c r="S24" s="6">
        <f t="shared" si="2"/>
        <v>0</v>
      </c>
      <c r="T24" s="6">
        <f t="shared" si="2"/>
        <v>0</v>
      </c>
      <c r="U24" s="4">
        <f t="shared" si="4"/>
        <v>0</v>
      </c>
      <c r="V24" s="115">
        <f>+S24*$M$3/'COST DATA'!$D$26</f>
        <v>0</v>
      </c>
      <c r="W24" s="16">
        <f t="shared" si="5"/>
        <v>0</v>
      </c>
      <c r="X24" s="27">
        <f t="shared" si="6"/>
        <v>0</v>
      </c>
      <c r="Y24" s="27">
        <f t="shared" si="7"/>
        <v>0</v>
      </c>
      <c r="Z24" s="4">
        <f t="shared" si="8"/>
        <v>0</v>
      </c>
      <c r="AA24" s="82">
        <f>+'Finished goods'!$O$3*'PRIVATE CUSTOMER (BtoC)'!T24</f>
        <v>0</v>
      </c>
      <c r="AB24" s="82">
        <f>+'Finished goods'!$P$24*R24</f>
        <v>0</v>
      </c>
      <c r="AC24" s="83">
        <f t="shared" si="9"/>
        <v>0</v>
      </c>
      <c r="AD24" s="93" t="e">
        <f t="shared" si="10"/>
        <v>#DIV/0!</v>
      </c>
      <c r="AE24" s="93">
        <f>+'REVENUE DATA'!$D$24</f>
        <v>0</v>
      </c>
      <c r="AF24" s="74" t="e">
        <f t="shared" si="11"/>
        <v>#DIV/0!</v>
      </c>
      <c r="AG24" s="172" t="e">
        <f t="shared" si="12"/>
        <v>#DIV/0!</v>
      </c>
      <c r="AH24" s="105">
        <f t="shared" si="13"/>
        <v>0</v>
      </c>
      <c r="AI24" s="74">
        <f t="shared" si="14"/>
        <v>0</v>
      </c>
    </row>
    <row r="25" spans="1:35" x14ac:dyDescent="0.3">
      <c r="A25" s="223"/>
      <c r="B25" s="4"/>
      <c r="C25" s="4" t="str">
        <f>+'Project Orto'!C15</f>
        <v>Bicchiere colonna twist alto</v>
      </c>
      <c r="D25" s="5">
        <f>+'Finished goods'!B25</f>
        <v>1</v>
      </c>
      <c r="E25" s="5">
        <f>+'Finished goods'!C25</f>
        <v>1</v>
      </c>
      <c r="F25" s="5">
        <f>+'Finished goods'!D25</f>
        <v>0.57999999999999996</v>
      </c>
      <c r="G25" s="5">
        <f>+'Finished goods'!E25</f>
        <v>58</v>
      </c>
      <c r="H25" s="4">
        <f>+'Finished goods'!F25</f>
        <v>9.4065272999999995E-5</v>
      </c>
      <c r="I25" s="6">
        <f>+'Finished goods'!G25</f>
        <v>0.26129242499999999</v>
      </c>
      <c r="J25" s="6">
        <f>+'Finished goods'!H25</f>
        <v>0.23516318249999998</v>
      </c>
      <c r="R25" s="23">
        <v>0</v>
      </c>
      <c r="S25" s="6">
        <f t="shared" si="2"/>
        <v>0</v>
      </c>
      <c r="T25" s="6">
        <f t="shared" si="2"/>
        <v>0</v>
      </c>
      <c r="U25" s="4">
        <f t="shared" si="4"/>
        <v>0</v>
      </c>
      <c r="V25" s="115">
        <f>+S25*$M$3/'COST DATA'!$D$26</f>
        <v>0</v>
      </c>
      <c r="W25" s="16">
        <f t="shared" si="5"/>
        <v>0</v>
      </c>
      <c r="X25" s="27">
        <f t="shared" si="6"/>
        <v>0</v>
      </c>
      <c r="Y25" s="27">
        <f t="shared" si="7"/>
        <v>0</v>
      </c>
      <c r="Z25" s="4">
        <f t="shared" si="8"/>
        <v>0</v>
      </c>
      <c r="AA25" s="82">
        <f>+'Finished goods'!$O$3*'PRIVATE CUSTOMER (BtoC)'!T25</f>
        <v>0</v>
      </c>
      <c r="AB25" s="82">
        <f>+'Finished goods'!$P$25*R25</f>
        <v>0</v>
      </c>
      <c r="AC25" s="83">
        <f t="shared" si="9"/>
        <v>0</v>
      </c>
      <c r="AD25" s="93" t="e">
        <f t="shared" si="10"/>
        <v>#DIV/0!</v>
      </c>
      <c r="AE25" s="93">
        <f>+'REVENUE DATA'!$D$25</f>
        <v>0</v>
      </c>
      <c r="AF25" s="74" t="e">
        <f t="shared" si="11"/>
        <v>#DIV/0!</v>
      </c>
      <c r="AG25" s="172" t="e">
        <f t="shared" si="12"/>
        <v>#DIV/0!</v>
      </c>
      <c r="AH25" s="105">
        <f t="shared" si="13"/>
        <v>0</v>
      </c>
      <c r="AI25" s="74">
        <f t="shared" si="14"/>
        <v>0</v>
      </c>
    </row>
    <row r="26" spans="1:35" x14ac:dyDescent="0.3">
      <c r="A26" s="223"/>
      <c r="B26" s="4"/>
      <c r="C26" s="4" t="str">
        <f>+'Project La Gallina'!C5</f>
        <v>Oliera1</v>
      </c>
      <c r="D26" s="5">
        <f>+'Finished goods'!B26</f>
        <v>2</v>
      </c>
      <c r="E26" s="5">
        <f>+'Finished goods'!C26</f>
        <v>1</v>
      </c>
      <c r="F26" s="5">
        <f>+'Finished goods'!D26</f>
        <v>0.54</v>
      </c>
      <c r="G26" s="5">
        <f>+'Finished goods'!E26</f>
        <v>54</v>
      </c>
      <c r="H26" s="4">
        <f>+'Finished goods'!F26</f>
        <v>1.830542E-4</v>
      </c>
      <c r="I26" s="6">
        <f>+'Finished goods'!G26</f>
        <v>0.50848388888888885</v>
      </c>
      <c r="J26" s="6">
        <f>+'Finished goods'!H26</f>
        <v>0.45763549999999997</v>
      </c>
      <c r="R26" s="23">
        <v>0</v>
      </c>
      <c r="S26" s="6">
        <f t="shared" si="2"/>
        <v>0</v>
      </c>
      <c r="T26" s="6">
        <f t="shared" si="2"/>
        <v>0</v>
      </c>
      <c r="U26" s="4">
        <f t="shared" si="4"/>
        <v>0</v>
      </c>
      <c r="V26" s="115">
        <f>+S26*$M$3/'COST DATA'!$D$26</f>
        <v>0</v>
      </c>
      <c r="W26" s="16">
        <f t="shared" si="5"/>
        <v>0</v>
      </c>
      <c r="X26" s="27">
        <f t="shared" si="6"/>
        <v>0</v>
      </c>
      <c r="Y26" s="27">
        <f t="shared" si="7"/>
        <v>0</v>
      </c>
      <c r="Z26" s="4">
        <f t="shared" si="8"/>
        <v>0</v>
      </c>
      <c r="AA26" s="82">
        <f>+'Finished goods'!$O$3*'PRIVATE CUSTOMER (BtoC)'!T26</f>
        <v>0</v>
      </c>
      <c r="AB26" s="82">
        <f>+'Finished goods'!$P$26*R26</f>
        <v>0</v>
      </c>
      <c r="AC26" s="83">
        <f t="shared" si="9"/>
        <v>0</v>
      </c>
      <c r="AD26" s="93" t="e">
        <f t="shared" si="10"/>
        <v>#DIV/0!</v>
      </c>
      <c r="AE26" s="93">
        <f>+'REVENUE DATA'!$D$26</f>
        <v>0</v>
      </c>
      <c r="AF26" s="74" t="e">
        <f t="shared" si="11"/>
        <v>#DIV/0!</v>
      </c>
      <c r="AG26" s="172" t="e">
        <f t="shared" si="12"/>
        <v>#DIV/0!</v>
      </c>
      <c r="AH26" s="105">
        <f t="shared" si="13"/>
        <v>0</v>
      </c>
      <c r="AI26" s="74">
        <f t="shared" si="14"/>
        <v>0</v>
      </c>
    </row>
    <row r="27" spans="1:35" ht="15" thickBot="1" x14ac:dyDescent="0.35">
      <c r="A27" s="224"/>
      <c r="B27" s="4"/>
      <c r="C27" s="4" t="str">
        <f>+'Project La Gallina'!C6</f>
        <v>Piatto spirale</v>
      </c>
      <c r="D27" s="5">
        <f>+'Finished goods'!B27</f>
        <v>4</v>
      </c>
      <c r="E27" s="5">
        <f>+'Finished goods'!C27</f>
        <v>5</v>
      </c>
      <c r="F27" s="5">
        <f>+'Finished goods'!D27</f>
        <v>0.25</v>
      </c>
      <c r="G27" s="5">
        <f>+'Finished goods'!E27</f>
        <v>25</v>
      </c>
      <c r="H27" s="4">
        <f>+'Finished goods'!F27</f>
        <v>1.575448E-4</v>
      </c>
      <c r="I27" s="6">
        <f>+'Finished goods'!G27</f>
        <v>0.43762444444444443</v>
      </c>
      <c r="J27" s="6">
        <f>+'Finished goods'!H27</f>
        <v>0.39386199999999999</v>
      </c>
      <c r="R27" s="23">
        <v>0</v>
      </c>
      <c r="S27" s="6">
        <f t="shared" si="2"/>
        <v>0</v>
      </c>
      <c r="T27" s="6">
        <f t="shared" si="2"/>
        <v>0</v>
      </c>
      <c r="U27" s="4">
        <f t="shared" si="4"/>
        <v>0</v>
      </c>
      <c r="V27" s="116">
        <f>+S27*$M$3/'COST DATA'!$D$26</f>
        <v>0</v>
      </c>
      <c r="W27" s="117">
        <f t="shared" si="5"/>
        <v>0</v>
      </c>
      <c r="X27" s="118">
        <f t="shared" si="6"/>
        <v>0</v>
      </c>
      <c r="Y27" s="118">
        <f t="shared" si="7"/>
        <v>0</v>
      </c>
      <c r="Z27" s="119">
        <f t="shared" si="8"/>
        <v>0</v>
      </c>
      <c r="AA27" s="85">
        <f>+'Finished goods'!$O$3*'PRIVATE CUSTOMER (BtoC)'!T27</f>
        <v>0</v>
      </c>
      <c r="AB27" s="85">
        <f>+'Finished goods'!$P$27*R27</f>
        <v>0</v>
      </c>
      <c r="AC27" s="86">
        <f t="shared" si="9"/>
        <v>0</v>
      </c>
      <c r="AD27" s="93" t="e">
        <f t="shared" si="10"/>
        <v>#DIV/0!</v>
      </c>
      <c r="AE27" s="93">
        <f>+'REVENUE DATA'!$D$27</f>
        <v>0</v>
      </c>
      <c r="AF27" s="74" t="e">
        <f t="shared" si="11"/>
        <v>#DIV/0!</v>
      </c>
      <c r="AG27" s="172" t="e">
        <f t="shared" si="12"/>
        <v>#DIV/0!</v>
      </c>
      <c r="AH27" s="105">
        <f t="shared" si="13"/>
        <v>0</v>
      </c>
      <c r="AI27" s="74">
        <f t="shared" si="14"/>
        <v>0</v>
      </c>
    </row>
    <row r="29" spans="1:35" x14ac:dyDescent="0.3">
      <c r="C29" s="12"/>
      <c r="D29" s="12"/>
      <c r="E29" s="12"/>
      <c r="F29" s="12"/>
      <c r="G29" s="12"/>
      <c r="H29" s="12"/>
      <c r="AC29" s="44"/>
    </row>
    <row r="30" spans="1:35" ht="18.600000000000001" thickBot="1" x14ac:dyDescent="0.4">
      <c r="D30" s="237" t="s">
        <v>40</v>
      </c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10" t="s">
        <v>32</v>
      </c>
      <c r="S30" s="87">
        <f>+S32/60/7</f>
        <v>0</v>
      </c>
      <c r="T30" s="88" t="s">
        <v>83</v>
      </c>
    </row>
    <row r="31" spans="1:35" x14ac:dyDescent="0.3">
      <c r="D31" s="236" t="s">
        <v>33</v>
      </c>
      <c r="E31" s="236"/>
      <c r="F31" s="236"/>
      <c r="G31" s="236"/>
      <c r="H31" s="236"/>
      <c r="I31" s="236"/>
      <c r="J31" s="236"/>
      <c r="M31" s="236" t="s">
        <v>36</v>
      </c>
      <c r="N31" s="236"/>
      <c r="O31" s="236"/>
      <c r="P31" s="236"/>
      <c r="Q31" s="236"/>
      <c r="V31" s="238" t="s">
        <v>135</v>
      </c>
      <c r="W31" s="239"/>
      <c r="X31" s="239"/>
      <c r="Y31" s="239"/>
      <c r="Z31" s="239"/>
      <c r="AA31" s="239"/>
      <c r="AB31" s="239"/>
      <c r="AC31" s="240"/>
    </row>
    <row r="32" spans="1:35" ht="18" x14ac:dyDescent="0.35">
      <c r="F32" s="225" t="s">
        <v>44</v>
      </c>
      <c r="G32" s="225"/>
      <c r="I32" s="20">
        <f>SUBTOTAL(9,I34:I56)</f>
        <v>59.570075669444442</v>
      </c>
      <c r="J32" s="20">
        <f>SUBTOTAL(9,J34:J56)</f>
        <v>53.613068102499987</v>
      </c>
      <c r="K32" s="1">
        <f>+'Finished goods'!$I$3</f>
        <v>2500</v>
      </c>
      <c r="L32" s="1">
        <f>+'Finished goods'!$J$3</f>
        <v>0.9</v>
      </c>
      <c r="M32" s="15">
        <f>+'Finished goods'!$K$3</f>
        <v>0.50772709939119998</v>
      </c>
      <c r="N32" s="15">
        <f>+'Finished goods'!$L$3</f>
        <v>6.7889999999999999E-3</v>
      </c>
      <c r="O32" s="13">
        <f>+'Finished goods'!$M$3</f>
        <v>0.15750000000000003</v>
      </c>
      <c r="P32" s="46">
        <f>+'Finished goods'!$N$3</f>
        <v>5.8880308880308881E-2</v>
      </c>
      <c r="Q32" s="1"/>
      <c r="S32" s="17">
        <f>SUBTOTAL(9,S34:S56)</f>
        <v>0</v>
      </c>
      <c r="T32" s="17">
        <f>SUBTOTAL(9,T34:T56)</f>
        <v>0</v>
      </c>
      <c r="U32" s="75">
        <f>SUBTOTAL(9,U34:U56)</f>
        <v>0</v>
      </c>
      <c r="V32" s="77">
        <f t="shared" ref="V32:AC32" si="15">SUBTOTAL(9,V34:V56)</f>
        <v>0</v>
      </c>
      <c r="W32" s="17">
        <f t="shared" si="15"/>
        <v>0</v>
      </c>
      <c r="X32" s="17">
        <f t="shared" si="15"/>
        <v>0</v>
      </c>
      <c r="Y32" s="17">
        <f t="shared" si="15"/>
        <v>0</v>
      </c>
      <c r="Z32" s="17">
        <f t="shared" si="15"/>
        <v>0</v>
      </c>
      <c r="AA32" s="17">
        <f t="shared" si="15"/>
        <v>0</v>
      </c>
      <c r="AB32" s="17">
        <f t="shared" si="15"/>
        <v>0</v>
      </c>
      <c r="AC32" s="78">
        <f t="shared" si="15"/>
        <v>0</v>
      </c>
      <c r="AF32" s="225" t="s">
        <v>118</v>
      </c>
      <c r="AG32" s="225"/>
      <c r="AH32" s="108">
        <f t="shared" ref="AH32" si="16">SUBTOTAL(9,AH34:AH56)</f>
        <v>0</v>
      </c>
    </row>
    <row r="33" spans="1:34" x14ac:dyDescent="0.3">
      <c r="A33" s="1" t="s">
        <v>145</v>
      </c>
      <c r="B33" s="1" t="s">
        <v>30</v>
      </c>
      <c r="C33" s="1" t="s">
        <v>0</v>
      </c>
      <c r="D33" s="1" t="s">
        <v>4</v>
      </c>
      <c r="E33" s="1" t="s">
        <v>5</v>
      </c>
      <c r="F33" s="1" t="s">
        <v>45</v>
      </c>
      <c r="G33" s="1" t="s">
        <v>57</v>
      </c>
      <c r="H33" s="1" t="s">
        <v>6</v>
      </c>
      <c r="I33" s="1" t="s">
        <v>2</v>
      </c>
      <c r="J33" s="1" t="s">
        <v>7</v>
      </c>
      <c r="K33" s="1" t="s">
        <v>31</v>
      </c>
      <c r="L33" s="1" t="s">
        <v>8</v>
      </c>
      <c r="M33" s="1" t="s">
        <v>34</v>
      </c>
      <c r="N33" s="1" t="s">
        <v>35</v>
      </c>
      <c r="O33" s="1" t="s">
        <v>37</v>
      </c>
      <c r="P33" s="1" t="s">
        <v>93</v>
      </c>
      <c r="Q33" s="1" t="s">
        <v>94</v>
      </c>
      <c r="R33" s="11" t="s">
        <v>39</v>
      </c>
      <c r="S33" s="2" t="s">
        <v>43</v>
      </c>
      <c r="T33" s="2" t="s">
        <v>2</v>
      </c>
      <c r="U33" s="76" t="s">
        <v>7</v>
      </c>
      <c r="V33" s="79" t="str">
        <f>+V4</f>
        <v>energia €/h</v>
      </c>
      <c r="W33" s="79" t="str">
        <f t="shared" ref="W33:AB33" si="17">+W4</f>
        <v>materiale €/Kg</v>
      </c>
      <c r="X33" s="79" t="str">
        <f t="shared" si="17"/>
        <v>mod</v>
      </c>
      <c r="Y33" s="79" t="str">
        <f t="shared" si="17"/>
        <v>ammort</v>
      </c>
      <c r="Z33" s="79" t="str">
        <f t="shared" si="17"/>
        <v>Accensione</v>
      </c>
      <c r="AA33" s="79" t="str">
        <f t="shared" si="17"/>
        <v>trasporto</v>
      </c>
      <c r="AB33" s="79" t="str">
        <f t="shared" si="17"/>
        <v>forniture</v>
      </c>
      <c r="AC33" s="80" t="s">
        <v>42</v>
      </c>
      <c r="AD33" s="53" t="s">
        <v>116</v>
      </c>
      <c r="AE33" s="1" t="s">
        <v>117</v>
      </c>
      <c r="AF33" s="1" t="s">
        <v>119</v>
      </c>
      <c r="AG33" s="1" t="s">
        <v>120</v>
      </c>
      <c r="AH33" s="1" t="s">
        <v>121</v>
      </c>
    </row>
    <row r="34" spans="1:34" x14ac:dyDescent="0.3">
      <c r="A34" s="222" t="s">
        <v>412</v>
      </c>
      <c r="B34" s="4"/>
      <c r="C34" s="4" t="str">
        <f>+C5</f>
        <v>Tavolo twist Logo</v>
      </c>
      <c r="D34" s="5">
        <f>+D5</f>
        <v>8</v>
      </c>
      <c r="E34" s="5">
        <f t="shared" ref="E34:J34" si="18">+E5</f>
        <v>10</v>
      </c>
      <c r="F34" s="5">
        <f t="shared" si="18"/>
        <v>1.22</v>
      </c>
      <c r="G34" s="5">
        <f t="shared" si="18"/>
        <v>82</v>
      </c>
      <c r="H34" s="4">
        <f t="shared" si="18"/>
        <v>7.9769999999999997E-3</v>
      </c>
      <c r="I34" s="6">
        <f t="shared" si="18"/>
        <v>22.158333333333331</v>
      </c>
      <c r="J34" s="6">
        <f t="shared" si="18"/>
        <v>19.942499999999999</v>
      </c>
      <c r="R34" s="23">
        <v>0</v>
      </c>
      <c r="S34" s="6">
        <f t="shared" ref="S34:S56" si="19">+G34*$R34</f>
        <v>0</v>
      </c>
      <c r="T34" s="6">
        <f t="shared" ref="T34" si="20">+I34*$R34</f>
        <v>0</v>
      </c>
      <c r="U34" s="4">
        <f>+J34*$R34</f>
        <v>0</v>
      </c>
      <c r="V34" s="115">
        <f>+S34*$M$3/'COST DATA'!$D$26</f>
        <v>0</v>
      </c>
      <c r="W34" s="16">
        <f>+U34*$N$3</f>
        <v>0</v>
      </c>
      <c r="X34" s="27">
        <f>+S34*$O$3</f>
        <v>0</v>
      </c>
      <c r="Y34" s="27">
        <f>+S34*$P$3</f>
        <v>0</v>
      </c>
      <c r="Z34" s="4">
        <f>+(S34/$S$3)*($S$1)</f>
        <v>0</v>
      </c>
      <c r="AA34" s="82">
        <f>+'Finished goods'!$O$3*'PRIVATE CUSTOMER (BtoC)'!T34</f>
        <v>0</v>
      </c>
      <c r="AB34" s="82">
        <f>+'Finished goods'!$P$5*R34</f>
        <v>0</v>
      </c>
      <c r="AC34" s="83">
        <f>SUM(V34:AB34)</f>
        <v>0</v>
      </c>
      <c r="AD34" s="93" t="e">
        <f>+AC34/R34</f>
        <v>#DIV/0!</v>
      </c>
      <c r="AE34" s="93">
        <f>+'REVENUE DATA'!$D$5</f>
        <v>1200</v>
      </c>
      <c r="AF34" s="90" t="e">
        <f>+AE34-AD34</f>
        <v>#DIV/0!</v>
      </c>
      <c r="AG34" s="91" t="e">
        <f>+AF34/AD34</f>
        <v>#DIV/0!</v>
      </c>
      <c r="AH34" s="92">
        <f>+AE34*R34</f>
        <v>0</v>
      </c>
    </row>
    <row r="35" spans="1:34" x14ac:dyDescent="0.3">
      <c r="A35" s="223"/>
      <c r="B35" s="4"/>
      <c r="C35" s="4" t="str">
        <f t="shared" ref="C35:J56" si="21">+C6</f>
        <v xml:space="preserve">Vaso bitorzolo curvo </v>
      </c>
      <c r="D35" s="5">
        <f t="shared" si="21"/>
        <v>4</v>
      </c>
      <c r="E35" s="5">
        <f t="shared" si="21"/>
        <v>2</v>
      </c>
      <c r="F35" s="5">
        <f t="shared" si="21"/>
        <v>5.21</v>
      </c>
      <c r="G35" s="5">
        <f t="shared" si="21"/>
        <v>321</v>
      </c>
      <c r="H35" s="4">
        <f t="shared" si="21"/>
        <v>6.0029599999999995E-4</v>
      </c>
      <c r="I35" s="6">
        <f t="shared" si="21"/>
        <v>1.6674888888888888</v>
      </c>
      <c r="J35" s="6">
        <f t="shared" si="21"/>
        <v>1.50074</v>
      </c>
      <c r="R35" s="23">
        <v>0</v>
      </c>
      <c r="S35" s="6">
        <f t="shared" si="19"/>
        <v>0</v>
      </c>
      <c r="T35" s="6">
        <f t="shared" ref="T35:T56" si="22">+H35*$R35</f>
        <v>0</v>
      </c>
      <c r="U35" s="4">
        <f t="shared" ref="U35:U56" si="23">+J35*$R35</f>
        <v>0</v>
      </c>
      <c r="V35" s="115">
        <f>+S35*$M$3/'COST DATA'!$D$26</f>
        <v>0</v>
      </c>
      <c r="W35" s="16">
        <f t="shared" ref="W35:W45" si="24">+U35*$N$3</f>
        <v>0</v>
      </c>
      <c r="X35" s="27">
        <f t="shared" ref="X35:X56" si="25">+S35*$O$3</f>
        <v>0</v>
      </c>
      <c r="Y35" s="27">
        <f t="shared" ref="Y35:Y56" si="26">+S35*$P$3</f>
        <v>0</v>
      </c>
      <c r="Z35" s="4">
        <f t="shared" ref="Z35:Z56" si="27">+(S35/$S$3)*($S$1)</f>
        <v>0</v>
      </c>
      <c r="AA35" s="82">
        <f>+'Finished goods'!$O$3*'PRIVATE CUSTOMER (BtoC)'!T35</f>
        <v>0</v>
      </c>
      <c r="AB35" s="82">
        <f>+'Finished goods'!$P$6*R35</f>
        <v>0</v>
      </c>
      <c r="AC35" s="83">
        <f t="shared" ref="AC35:AC56" si="28">SUM(V35:AB35)</f>
        <v>0</v>
      </c>
      <c r="AD35" s="93" t="e">
        <f t="shared" ref="AD35:AD56" si="29">+AC35/R35</f>
        <v>#DIV/0!</v>
      </c>
      <c r="AE35" s="93">
        <f>+'REVENUE DATA'!$D$6</f>
        <v>350</v>
      </c>
      <c r="AF35" s="90" t="e">
        <f t="shared" ref="AF35:AF56" si="30">+AE35-AD35</f>
        <v>#DIV/0!</v>
      </c>
      <c r="AG35" s="91" t="e">
        <f t="shared" ref="AG35:AG56" si="31">+AF35/AD35</f>
        <v>#DIV/0!</v>
      </c>
      <c r="AH35" s="92">
        <f t="shared" ref="AH35:AH56" si="32">+AE35*R35</f>
        <v>0</v>
      </c>
    </row>
    <row r="36" spans="1:34" x14ac:dyDescent="0.3">
      <c r="A36" s="223"/>
      <c r="B36" s="4"/>
      <c r="C36" s="4" t="str">
        <f t="shared" si="21"/>
        <v>Vaso bitorzolo twist</v>
      </c>
      <c r="D36" s="5">
        <f t="shared" si="21"/>
        <v>4</v>
      </c>
      <c r="E36" s="5">
        <f t="shared" si="21"/>
        <v>2</v>
      </c>
      <c r="F36" s="5">
        <f t="shared" si="21"/>
        <v>5.15</v>
      </c>
      <c r="G36" s="5">
        <f t="shared" si="21"/>
        <v>315</v>
      </c>
      <c r="H36" s="4">
        <f t="shared" si="21"/>
        <v>8.005105E-4</v>
      </c>
      <c r="I36" s="6">
        <f t="shared" si="21"/>
        <v>2.2236402777777777</v>
      </c>
      <c r="J36" s="6">
        <f t="shared" si="21"/>
        <v>2.0012762500000001</v>
      </c>
      <c r="R36" s="23">
        <v>0</v>
      </c>
      <c r="S36" s="6">
        <f t="shared" si="19"/>
        <v>0</v>
      </c>
      <c r="T36" s="6">
        <f t="shared" si="22"/>
        <v>0</v>
      </c>
      <c r="U36" s="4">
        <f t="shared" si="23"/>
        <v>0</v>
      </c>
      <c r="V36" s="115">
        <f>+S36*$M$3/'COST DATA'!$D$26</f>
        <v>0</v>
      </c>
      <c r="W36" s="16">
        <f t="shared" si="24"/>
        <v>0</v>
      </c>
      <c r="X36" s="27">
        <f t="shared" si="25"/>
        <v>0</v>
      </c>
      <c r="Y36" s="27">
        <f t="shared" si="26"/>
        <v>0</v>
      </c>
      <c r="Z36" s="4">
        <f t="shared" si="27"/>
        <v>0</v>
      </c>
      <c r="AA36" s="82">
        <f>+'Finished goods'!$O$3*'PRIVATE CUSTOMER (BtoC)'!T36</f>
        <v>0</v>
      </c>
      <c r="AB36" s="82">
        <f>+'Finished goods'!$P$7*R36</f>
        <v>0</v>
      </c>
      <c r="AC36" s="83">
        <f t="shared" si="28"/>
        <v>0</v>
      </c>
      <c r="AD36" s="93" t="e">
        <f t="shared" si="29"/>
        <v>#DIV/0!</v>
      </c>
      <c r="AE36" s="93">
        <f>+'REVENUE DATA'!$D$7</f>
        <v>350</v>
      </c>
      <c r="AF36" s="90" t="e">
        <f t="shared" si="30"/>
        <v>#DIV/0!</v>
      </c>
      <c r="AG36" s="91" t="e">
        <f t="shared" si="31"/>
        <v>#DIV/0!</v>
      </c>
      <c r="AH36" s="92">
        <f t="shared" si="32"/>
        <v>0</v>
      </c>
    </row>
    <row r="37" spans="1:34" x14ac:dyDescent="0.3">
      <c r="A37" s="223"/>
      <c r="B37" s="4"/>
      <c r="C37" s="4" t="str">
        <f t="shared" si="21"/>
        <v>Vaso bitorzolo dritto</v>
      </c>
      <c r="D37" s="5">
        <f t="shared" si="21"/>
        <v>4</v>
      </c>
      <c r="E37" s="5">
        <f t="shared" si="21"/>
        <v>2</v>
      </c>
      <c r="F37" s="5">
        <f t="shared" si="21"/>
        <v>4.4800000000000004</v>
      </c>
      <c r="G37" s="5">
        <f t="shared" si="21"/>
        <v>288</v>
      </c>
      <c r="H37" s="4">
        <f t="shared" si="21"/>
        <v>8.2321687099999998E-4</v>
      </c>
      <c r="I37" s="6">
        <f t="shared" si="21"/>
        <v>2.2867135305555553</v>
      </c>
      <c r="J37" s="6">
        <f t="shared" si="21"/>
        <v>2.0580421775</v>
      </c>
      <c r="R37" s="23">
        <v>0</v>
      </c>
      <c r="S37" s="6">
        <f t="shared" si="19"/>
        <v>0</v>
      </c>
      <c r="T37" s="6">
        <f t="shared" si="22"/>
        <v>0</v>
      </c>
      <c r="U37" s="4">
        <f t="shared" si="23"/>
        <v>0</v>
      </c>
      <c r="V37" s="115">
        <f>+S37*$M$3/'COST DATA'!$D$26</f>
        <v>0</v>
      </c>
      <c r="W37" s="16">
        <f t="shared" si="24"/>
        <v>0</v>
      </c>
      <c r="X37" s="27">
        <f t="shared" si="25"/>
        <v>0</v>
      </c>
      <c r="Y37" s="27">
        <f t="shared" si="26"/>
        <v>0</v>
      </c>
      <c r="Z37" s="4">
        <f t="shared" si="27"/>
        <v>0</v>
      </c>
      <c r="AA37" s="82">
        <f>+'Finished goods'!$O$3*'PRIVATE CUSTOMER (BtoC)'!T37</f>
        <v>0</v>
      </c>
      <c r="AB37" s="82">
        <f>+'Finished goods'!$P$8*R37</f>
        <v>0</v>
      </c>
      <c r="AC37" s="83">
        <f t="shared" si="28"/>
        <v>0</v>
      </c>
      <c r="AD37" s="93" t="e">
        <f t="shared" si="29"/>
        <v>#DIV/0!</v>
      </c>
      <c r="AE37" s="93">
        <f>+'REVENUE DATA'!$D$8</f>
        <v>350</v>
      </c>
      <c r="AF37" s="90" t="e">
        <f t="shared" si="30"/>
        <v>#DIV/0!</v>
      </c>
      <c r="AG37" s="91" t="e">
        <f t="shared" si="31"/>
        <v>#DIV/0!</v>
      </c>
      <c r="AH37" s="92">
        <f t="shared" si="32"/>
        <v>0</v>
      </c>
    </row>
    <row r="38" spans="1:34" x14ac:dyDescent="0.3">
      <c r="A38" s="223"/>
      <c r="B38" s="4"/>
      <c r="C38" s="4" t="str">
        <f t="shared" si="21"/>
        <v>Porta riviste</v>
      </c>
      <c r="D38" s="5">
        <f t="shared" si="21"/>
        <v>10</v>
      </c>
      <c r="E38" s="5">
        <f t="shared" si="21"/>
        <v>10</v>
      </c>
      <c r="F38" s="5">
        <f t="shared" si="21"/>
        <v>0.42</v>
      </c>
      <c r="G38" s="5">
        <f t="shared" si="21"/>
        <v>42</v>
      </c>
      <c r="H38" s="4">
        <f t="shared" si="21"/>
        <v>3.5606798E-3</v>
      </c>
      <c r="I38" s="6">
        <f t="shared" si="21"/>
        <v>9.890777222222221</v>
      </c>
      <c r="J38" s="6">
        <f t="shared" si="21"/>
        <v>8.9016994999999994</v>
      </c>
      <c r="R38" s="23">
        <v>0</v>
      </c>
      <c r="S38" s="6">
        <f t="shared" si="19"/>
        <v>0</v>
      </c>
      <c r="T38" s="6">
        <f t="shared" si="22"/>
        <v>0</v>
      </c>
      <c r="U38" s="4">
        <f t="shared" si="23"/>
        <v>0</v>
      </c>
      <c r="V38" s="115">
        <f>+S38*$M$3/'COST DATA'!$D$26</f>
        <v>0</v>
      </c>
      <c r="W38" s="16">
        <f t="shared" si="24"/>
        <v>0</v>
      </c>
      <c r="X38" s="27">
        <f t="shared" si="25"/>
        <v>0</v>
      </c>
      <c r="Y38" s="27">
        <f t="shared" si="26"/>
        <v>0</v>
      </c>
      <c r="Z38" s="4">
        <f t="shared" si="27"/>
        <v>0</v>
      </c>
      <c r="AA38" s="82">
        <f>+'Finished goods'!$O$3*'PRIVATE CUSTOMER (BtoC)'!T38</f>
        <v>0</v>
      </c>
      <c r="AB38" s="82">
        <f>+'Finished goods'!$P$9*R38</f>
        <v>0</v>
      </c>
      <c r="AC38" s="83">
        <f t="shared" si="28"/>
        <v>0</v>
      </c>
      <c r="AD38" s="93" t="e">
        <f t="shared" si="29"/>
        <v>#DIV/0!</v>
      </c>
      <c r="AE38" s="93">
        <f>+'REVENUE DATA'!$D$9</f>
        <v>180</v>
      </c>
      <c r="AF38" s="90" t="e">
        <f t="shared" si="30"/>
        <v>#DIV/0!</v>
      </c>
      <c r="AG38" s="91" t="e">
        <f t="shared" si="31"/>
        <v>#DIV/0!</v>
      </c>
      <c r="AH38" s="92">
        <f t="shared" si="32"/>
        <v>0</v>
      </c>
    </row>
    <row r="39" spans="1:34" x14ac:dyDescent="0.3">
      <c r="A39" s="223"/>
      <c r="B39" s="4"/>
      <c r="C39" s="4" t="str">
        <f t="shared" si="21"/>
        <v>Lampada 90 grossa</v>
      </c>
      <c r="D39" s="5">
        <f t="shared" si="21"/>
        <v>8</v>
      </c>
      <c r="E39" s="5">
        <f t="shared" si="21"/>
        <v>10</v>
      </c>
      <c r="F39" s="5">
        <f t="shared" si="21"/>
        <v>1.39</v>
      </c>
      <c r="G39" s="5">
        <f t="shared" si="21"/>
        <v>99</v>
      </c>
      <c r="H39" s="4">
        <f t="shared" si="21"/>
        <v>1.7366300000000001E-3</v>
      </c>
      <c r="I39" s="6">
        <f t="shared" si="21"/>
        <v>4.8239722222222232</v>
      </c>
      <c r="J39" s="6">
        <f t="shared" si="21"/>
        <v>4.3415750000000006</v>
      </c>
      <c r="R39" s="23">
        <v>0</v>
      </c>
      <c r="S39" s="6">
        <f t="shared" si="19"/>
        <v>0</v>
      </c>
      <c r="T39" s="6">
        <f t="shared" si="22"/>
        <v>0</v>
      </c>
      <c r="U39" s="4">
        <f t="shared" si="23"/>
        <v>0</v>
      </c>
      <c r="V39" s="115">
        <f>+S39*$M$3/'COST DATA'!$D$26</f>
        <v>0</v>
      </c>
      <c r="W39" s="16">
        <f t="shared" si="24"/>
        <v>0</v>
      </c>
      <c r="X39" s="27">
        <f t="shared" si="25"/>
        <v>0</v>
      </c>
      <c r="Y39" s="27">
        <f t="shared" si="26"/>
        <v>0</v>
      </c>
      <c r="Z39" s="4">
        <f t="shared" si="27"/>
        <v>0</v>
      </c>
      <c r="AA39" s="82">
        <f>+'Finished goods'!$O$3*'PRIVATE CUSTOMER (BtoC)'!T39</f>
        <v>0</v>
      </c>
      <c r="AB39" s="82">
        <f>+'Finished goods'!$P$10*R39</f>
        <v>0</v>
      </c>
      <c r="AC39" s="83">
        <f t="shared" si="28"/>
        <v>0</v>
      </c>
      <c r="AD39" s="93" t="e">
        <f t="shared" si="29"/>
        <v>#DIV/0!</v>
      </c>
      <c r="AE39" s="93">
        <f>+'REVENUE DATA'!$D$10</f>
        <v>450</v>
      </c>
      <c r="AF39" s="90" t="e">
        <f t="shared" si="30"/>
        <v>#DIV/0!</v>
      </c>
      <c r="AG39" s="91" t="e">
        <f t="shared" si="31"/>
        <v>#DIV/0!</v>
      </c>
      <c r="AH39" s="92">
        <f t="shared" si="32"/>
        <v>0</v>
      </c>
    </row>
    <row r="40" spans="1:34" x14ac:dyDescent="0.3">
      <c r="A40" s="223"/>
      <c r="B40" s="4"/>
      <c r="C40" s="4" t="str">
        <f t="shared" si="21"/>
        <v>Lampada 90 piccola</v>
      </c>
      <c r="D40" s="5">
        <f t="shared" si="21"/>
        <v>5</v>
      </c>
      <c r="E40" s="5">
        <f t="shared" si="21"/>
        <v>10</v>
      </c>
      <c r="F40" s="5">
        <f t="shared" si="21"/>
        <v>1.1499999999999999</v>
      </c>
      <c r="G40" s="5">
        <f t="shared" si="21"/>
        <v>75</v>
      </c>
      <c r="H40" s="4">
        <f t="shared" si="21"/>
        <v>8.1557296000000004E-4</v>
      </c>
      <c r="I40" s="6">
        <f t="shared" si="21"/>
        <v>2.2654804444444445</v>
      </c>
      <c r="J40" s="6">
        <f t="shared" si="21"/>
        <v>2.0389324000000002</v>
      </c>
      <c r="R40" s="23">
        <v>0</v>
      </c>
      <c r="S40" s="6">
        <f t="shared" si="19"/>
        <v>0</v>
      </c>
      <c r="T40" s="6">
        <f t="shared" si="22"/>
        <v>0</v>
      </c>
      <c r="U40" s="4">
        <f t="shared" si="23"/>
        <v>0</v>
      </c>
      <c r="V40" s="115">
        <f>+S40*$M$3/'COST DATA'!$D$26</f>
        <v>0</v>
      </c>
      <c r="W40" s="16">
        <f t="shared" si="24"/>
        <v>0</v>
      </c>
      <c r="X40" s="27">
        <f t="shared" si="25"/>
        <v>0</v>
      </c>
      <c r="Y40" s="27">
        <f t="shared" si="26"/>
        <v>0</v>
      </c>
      <c r="Z40" s="4">
        <f t="shared" si="27"/>
        <v>0</v>
      </c>
      <c r="AA40" s="82">
        <f>+'Finished goods'!$O$3*'PRIVATE CUSTOMER (BtoC)'!T40</f>
        <v>0</v>
      </c>
      <c r="AB40" s="82">
        <f>+'Finished goods'!$P$11*R40</f>
        <v>0</v>
      </c>
      <c r="AC40" s="83">
        <f t="shared" si="28"/>
        <v>0</v>
      </c>
      <c r="AD40" s="93" t="e">
        <f t="shared" si="29"/>
        <v>#DIV/0!</v>
      </c>
      <c r="AE40" s="93">
        <f>+'REVENUE DATA'!$D$11</f>
        <v>200</v>
      </c>
      <c r="AF40" s="90" t="e">
        <f t="shared" si="30"/>
        <v>#DIV/0!</v>
      </c>
      <c r="AG40" s="91" t="e">
        <f t="shared" si="31"/>
        <v>#DIV/0!</v>
      </c>
      <c r="AH40" s="92">
        <f t="shared" si="32"/>
        <v>0</v>
      </c>
    </row>
    <row r="41" spans="1:34" x14ac:dyDescent="0.3">
      <c r="A41" s="223"/>
      <c r="B41" s="4"/>
      <c r="C41" s="4" t="str">
        <f t="shared" si="21"/>
        <v>Vaso Logo</v>
      </c>
      <c r="D41" s="5">
        <f t="shared" si="21"/>
        <v>5</v>
      </c>
      <c r="E41" s="5">
        <f t="shared" si="21"/>
        <v>10</v>
      </c>
      <c r="F41" s="5">
        <f t="shared" si="21"/>
        <v>0.39</v>
      </c>
      <c r="G41" s="5">
        <f t="shared" si="21"/>
        <v>39</v>
      </c>
      <c r="H41" s="4">
        <f t="shared" si="21"/>
        <v>1.1639584900000001E-3</v>
      </c>
      <c r="I41" s="6">
        <f t="shared" si="21"/>
        <v>3.2332180277777778</v>
      </c>
      <c r="J41" s="6">
        <f t="shared" si="21"/>
        <v>2.9098962250000002</v>
      </c>
      <c r="R41" s="23">
        <v>0</v>
      </c>
      <c r="S41" s="6">
        <f t="shared" si="19"/>
        <v>0</v>
      </c>
      <c r="T41" s="6">
        <f t="shared" si="22"/>
        <v>0</v>
      </c>
      <c r="U41" s="4">
        <f t="shared" si="23"/>
        <v>0</v>
      </c>
      <c r="V41" s="115">
        <f>+S41*$M$3/'COST DATA'!$D$26</f>
        <v>0</v>
      </c>
      <c r="W41" s="16">
        <f t="shared" si="24"/>
        <v>0</v>
      </c>
      <c r="X41" s="27">
        <f t="shared" si="25"/>
        <v>0</v>
      </c>
      <c r="Y41" s="27">
        <f t="shared" si="26"/>
        <v>0</v>
      </c>
      <c r="Z41" s="4">
        <f t="shared" si="27"/>
        <v>0</v>
      </c>
      <c r="AA41" s="82">
        <f>+'Finished goods'!$O$3*'PRIVATE CUSTOMER (BtoC)'!T41</f>
        <v>0</v>
      </c>
      <c r="AB41" s="82">
        <f>+'Finished goods'!$P$12*R41</f>
        <v>0</v>
      </c>
      <c r="AC41" s="83">
        <f t="shared" si="28"/>
        <v>0</v>
      </c>
      <c r="AD41" s="93" t="e">
        <f t="shared" si="29"/>
        <v>#DIV/0!</v>
      </c>
      <c r="AE41" s="93">
        <f>+'REVENUE DATA'!$D$12</f>
        <v>350</v>
      </c>
      <c r="AF41" s="90" t="e">
        <f t="shared" si="30"/>
        <v>#DIV/0!</v>
      </c>
      <c r="AG41" s="91" t="e">
        <f t="shared" si="31"/>
        <v>#DIV/0!</v>
      </c>
      <c r="AH41" s="92">
        <f t="shared" si="32"/>
        <v>0</v>
      </c>
    </row>
    <row r="42" spans="1:34" x14ac:dyDescent="0.3">
      <c r="A42" s="223"/>
      <c r="B42" s="4"/>
      <c r="C42" s="4" t="str">
        <f t="shared" si="21"/>
        <v>Copri candela</v>
      </c>
      <c r="D42" s="5">
        <f t="shared" si="21"/>
        <v>4</v>
      </c>
      <c r="E42" s="5">
        <f t="shared" si="21"/>
        <v>5</v>
      </c>
      <c r="F42" s="5">
        <f t="shared" si="21"/>
        <v>0.34</v>
      </c>
      <c r="G42" s="5">
        <f t="shared" si="21"/>
        <v>34</v>
      </c>
      <c r="H42" s="4">
        <f t="shared" si="21"/>
        <v>2.3780405299999999E-4</v>
      </c>
      <c r="I42" s="6">
        <f t="shared" si="21"/>
        <v>0.66056681388888883</v>
      </c>
      <c r="J42" s="6">
        <f t="shared" si="21"/>
        <v>0.59451013249999995</v>
      </c>
      <c r="R42" s="23">
        <v>0</v>
      </c>
      <c r="S42" s="6">
        <f t="shared" si="19"/>
        <v>0</v>
      </c>
      <c r="T42" s="6">
        <f t="shared" si="22"/>
        <v>0</v>
      </c>
      <c r="U42" s="4">
        <f t="shared" si="23"/>
        <v>0</v>
      </c>
      <c r="V42" s="115">
        <f>+S42*$M$3/'COST DATA'!$D$26</f>
        <v>0</v>
      </c>
      <c r="W42" s="16">
        <f t="shared" si="24"/>
        <v>0</v>
      </c>
      <c r="X42" s="27">
        <f t="shared" si="25"/>
        <v>0</v>
      </c>
      <c r="Y42" s="27">
        <f t="shared" si="26"/>
        <v>0</v>
      </c>
      <c r="Z42" s="4">
        <f t="shared" si="27"/>
        <v>0</v>
      </c>
      <c r="AA42" s="82">
        <f>+'Finished goods'!$O$3*'PRIVATE CUSTOMER (BtoC)'!T42</f>
        <v>0</v>
      </c>
      <c r="AB42" s="82">
        <f>+'Finished goods'!$P$13*R42</f>
        <v>0</v>
      </c>
      <c r="AC42" s="83">
        <f t="shared" si="28"/>
        <v>0</v>
      </c>
      <c r="AD42" s="93" t="e">
        <f t="shared" si="29"/>
        <v>#DIV/0!</v>
      </c>
      <c r="AE42" s="93">
        <f>+'REVENUE DATA'!$D$13</f>
        <v>75</v>
      </c>
      <c r="AF42" s="90" t="e">
        <f t="shared" si="30"/>
        <v>#DIV/0!</v>
      </c>
      <c r="AG42" s="91" t="e">
        <f t="shared" si="31"/>
        <v>#DIV/0!</v>
      </c>
      <c r="AH42" s="92">
        <f t="shared" si="32"/>
        <v>0</v>
      </c>
    </row>
    <row r="43" spans="1:34" x14ac:dyDescent="0.3">
      <c r="A43" s="223"/>
      <c r="B43" s="4"/>
      <c r="C43" s="4" t="str">
        <f t="shared" si="21"/>
        <v xml:space="preserve">Vaso Grosso </v>
      </c>
      <c r="D43" s="5">
        <f t="shared" si="21"/>
        <v>4</v>
      </c>
      <c r="E43" s="5">
        <f t="shared" si="21"/>
        <v>5</v>
      </c>
      <c r="F43" s="5">
        <f t="shared" si="21"/>
        <v>1.31</v>
      </c>
      <c r="G43" s="5">
        <f t="shared" si="21"/>
        <v>91</v>
      </c>
      <c r="H43" s="4">
        <f t="shared" si="21"/>
        <v>9.52764444E-4</v>
      </c>
      <c r="I43" s="6">
        <f t="shared" si="21"/>
        <v>2.6465679</v>
      </c>
      <c r="J43" s="6">
        <f t="shared" si="21"/>
        <v>2.3819111099999999</v>
      </c>
      <c r="R43" s="23">
        <v>0</v>
      </c>
      <c r="S43" s="6">
        <f t="shared" si="19"/>
        <v>0</v>
      </c>
      <c r="T43" s="6">
        <f t="shared" si="22"/>
        <v>0</v>
      </c>
      <c r="U43" s="4">
        <f t="shared" si="23"/>
        <v>0</v>
      </c>
      <c r="V43" s="115">
        <f>+S43*$M$3/'COST DATA'!$D$26</f>
        <v>0</v>
      </c>
      <c r="W43" s="16">
        <f t="shared" si="24"/>
        <v>0</v>
      </c>
      <c r="X43" s="27">
        <f t="shared" si="25"/>
        <v>0</v>
      </c>
      <c r="Y43" s="27">
        <f t="shared" si="26"/>
        <v>0</v>
      </c>
      <c r="Z43" s="4">
        <f t="shared" si="27"/>
        <v>0</v>
      </c>
      <c r="AA43" s="82">
        <f>+'Finished goods'!$O$3*'PRIVATE CUSTOMER (BtoC)'!T43</f>
        <v>0</v>
      </c>
      <c r="AB43" s="82">
        <f>+'Finished goods'!$P$14*R43</f>
        <v>0</v>
      </c>
      <c r="AC43" s="83">
        <f t="shared" si="28"/>
        <v>0</v>
      </c>
      <c r="AD43" s="93" t="e">
        <f t="shared" si="29"/>
        <v>#DIV/0!</v>
      </c>
      <c r="AE43" s="93">
        <f>+'REVENUE DATA'!$D$14</f>
        <v>250</v>
      </c>
      <c r="AF43" s="90" t="e">
        <f t="shared" si="30"/>
        <v>#DIV/0!</v>
      </c>
      <c r="AG43" s="91" t="e">
        <f t="shared" si="31"/>
        <v>#DIV/0!</v>
      </c>
      <c r="AH43" s="92">
        <f t="shared" si="32"/>
        <v>0</v>
      </c>
    </row>
    <row r="44" spans="1:34" x14ac:dyDescent="0.3">
      <c r="A44" s="223"/>
      <c r="B44" s="4"/>
      <c r="C44" s="4" t="str">
        <f t="shared" si="21"/>
        <v>Bicchiere curve dritto</v>
      </c>
      <c r="D44" s="5">
        <f t="shared" si="21"/>
        <v>2</v>
      </c>
      <c r="E44" s="5">
        <f t="shared" si="21"/>
        <v>2</v>
      </c>
      <c r="F44" s="5">
        <f t="shared" si="21"/>
        <v>0.26</v>
      </c>
      <c r="G44" s="5">
        <f t="shared" si="21"/>
        <v>26</v>
      </c>
      <c r="H44" s="4">
        <f t="shared" si="21"/>
        <v>1.6928511099999999E-4</v>
      </c>
      <c r="I44" s="6">
        <f t="shared" si="21"/>
        <v>0.47023641944444439</v>
      </c>
      <c r="J44" s="6">
        <f t="shared" si="21"/>
        <v>0.42321277749999997</v>
      </c>
      <c r="R44" s="23">
        <v>0</v>
      </c>
      <c r="S44" s="6">
        <f t="shared" si="19"/>
        <v>0</v>
      </c>
      <c r="T44" s="6">
        <f t="shared" si="22"/>
        <v>0</v>
      </c>
      <c r="U44" s="4">
        <f t="shared" si="23"/>
        <v>0</v>
      </c>
      <c r="V44" s="115">
        <f>+S44*$M$3/'COST DATA'!$D$26</f>
        <v>0</v>
      </c>
      <c r="W44" s="16">
        <f t="shared" si="24"/>
        <v>0</v>
      </c>
      <c r="X44" s="27">
        <f t="shared" si="25"/>
        <v>0</v>
      </c>
      <c r="Y44" s="27">
        <f t="shared" si="26"/>
        <v>0</v>
      </c>
      <c r="Z44" s="4">
        <f t="shared" si="27"/>
        <v>0</v>
      </c>
      <c r="AA44" s="82">
        <f>+'Finished goods'!$O$3*'PRIVATE CUSTOMER (BtoC)'!T44</f>
        <v>0</v>
      </c>
      <c r="AB44" s="82">
        <f>+'Finished goods'!$P$15*R44</f>
        <v>0</v>
      </c>
      <c r="AC44" s="83">
        <f t="shared" si="28"/>
        <v>0</v>
      </c>
      <c r="AD44" s="93" t="e">
        <f t="shared" si="29"/>
        <v>#DIV/0!</v>
      </c>
      <c r="AE44" s="93">
        <f>+'REVENUE DATA'!$D$15</f>
        <v>0</v>
      </c>
      <c r="AF44" s="90" t="e">
        <f t="shared" si="30"/>
        <v>#DIV/0!</v>
      </c>
      <c r="AG44" s="91" t="e">
        <f t="shared" si="31"/>
        <v>#DIV/0!</v>
      </c>
      <c r="AH44" s="92">
        <f t="shared" si="32"/>
        <v>0</v>
      </c>
    </row>
    <row r="45" spans="1:34" x14ac:dyDescent="0.3">
      <c r="A45" s="223"/>
      <c r="B45" s="4"/>
      <c r="C45" s="4" t="str">
        <f t="shared" si="21"/>
        <v>Bicchiere curve twist</v>
      </c>
      <c r="D45" s="5">
        <f t="shared" si="21"/>
        <v>2</v>
      </c>
      <c r="E45" s="5">
        <f t="shared" si="21"/>
        <v>2</v>
      </c>
      <c r="F45" s="5">
        <f t="shared" si="21"/>
        <v>0.25</v>
      </c>
      <c r="G45" s="5">
        <f t="shared" si="21"/>
        <v>25</v>
      </c>
      <c r="H45" s="4">
        <f t="shared" si="21"/>
        <v>1.69285896E-4</v>
      </c>
      <c r="I45" s="6">
        <f t="shared" si="21"/>
        <v>0.47023859999999995</v>
      </c>
      <c r="J45" s="6">
        <f t="shared" si="21"/>
        <v>0.42321473999999998</v>
      </c>
      <c r="R45" s="23">
        <v>0</v>
      </c>
      <c r="S45" s="6">
        <f t="shared" si="19"/>
        <v>0</v>
      </c>
      <c r="T45" s="6">
        <f t="shared" si="22"/>
        <v>0</v>
      </c>
      <c r="U45" s="4">
        <f t="shared" si="23"/>
        <v>0</v>
      </c>
      <c r="V45" s="115">
        <f>+S45*$M$3/'COST DATA'!$D$26</f>
        <v>0</v>
      </c>
      <c r="W45" s="16">
        <f t="shared" si="24"/>
        <v>0</v>
      </c>
      <c r="X45" s="27">
        <f t="shared" si="25"/>
        <v>0</v>
      </c>
      <c r="Y45" s="27">
        <f t="shared" si="26"/>
        <v>0</v>
      </c>
      <c r="Z45" s="4">
        <f t="shared" si="27"/>
        <v>0</v>
      </c>
      <c r="AA45" s="82">
        <f>+'Finished goods'!$O$3*'PRIVATE CUSTOMER (BtoC)'!T45</f>
        <v>0</v>
      </c>
      <c r="AB45" s="82">
        <f>+'Finished goods'!$P$16*R45</f>
        <v>0</v>
      </c>
      <c r="AC45" s="83">
        <f t="shared" si="28"/>
        <v>0</v>
      </c>
      <c r="AD45" s="93" t="e">
        <f t="shared" si="29"/>
        <v>#DIV/0!</v>
      </c>
      <c r="AE45" s="93">
        <f>+'REVENUE DATA'!$D$16</f>
        <v>0</v>
      </c>
      <c r="AF45" s="90" t="e">
        <f t="shared" si="30"/>
        <v>#DIV/0!</v>
      </c>
      <c r="AG45" s="91" t="e">
        <f t="shared" si="31"/>
        <v>#DIV/0!</v>
      </c>
      <c r="AH45" s="92">
        <f t="shared" si="32"/>
        <v>0</v>
      </c>
    </row>
    <row r="46" spans="1:34" x14ac:dyDescent="0.3">
      <c r="A46" s="223"/>
      <c r="B46" s="4"/>
      <c r="C46" s="4" t="str">
        <f t="shared" si="21"/>
        <v>Caraffa curva</v>
      </c>
      <c r="D46" s="5">
        <f t="shared" si="21"/>
        <v>2</v>
      </c>
      <c r="E46" s="5">
        <f t="shared" si="21"/>
        <v>2</v>
      </c>
      <c r="F46" s="5">
        <f t="shared" si="21"/>
        <v>0.56999999999999995</v>
      </c>
      <c r="G46" s="5">
        <f t="shared" si="21"/>
        <v>57</v>
      </c>
      <c r="H46" s="4">
        <f t="shared" si="21"/>
        <v>3.69342133E-4</v>
      </c>
      <c r="I46" s="6">
        <f t="shared" si="21"/>
        <v>1.0259503694444445</v>
      </c>
      <c r="J46" s="6">
        <f t="shared" si="21"/>
        <v>0.92335533250000001</v>
      </c>
      <c r="R46" s="23">
        <v>0</v>
      </c>
      <c r="S46" s="6">
        <f t="shared" si="19"/>
        <v>0</v>
      </c>
      <c r="T46" s="6">
        <f t="shared" si="22"/>
        <v>0</v>
      </c>
      <c r="U46" s="4">
        <f t="shared" si="23"/>
        <v>0</v>
      </c>
      <c r="V46" s="115">
        <f>+S46*$M$3/'COST DATA'!$D$26</f>
        <v>0</v>
      </c>
      <c r="W46" s="16">
        <f>+U46*$N$3</f>
        <v>0</v>
      </c>
      <c r="X46" s="27">
        <f t="shared" si="25"/>
        <v>0</v>
      </c>
      <c r="Y46" s="27">
        <f t="shared" si="26"/>
        <v>0</v>
      </c>
      <c r="Z46" s="4">
        <f t="shared" si="27"/>
        <v>0</v>
      </c>
      <c r="AA46" s="82">
        <f>+'Finished goods'!$O$3*'PRIVATE CUSTOMER (BtoC)'!T46</f>
        <v>0</v>
      </c>
      <c r="AB46" s="82">
        <f>+'Finished goods'!$P$17*R46</f>
        <v>0</v>
      </c>
      <c r="AC46" s="83">
        <f t="shared" si="28"/>
        <v>0</v>
      </c>
      <c r="AD46" s="93" t="e">
        <f t="shared" si="29"/>
        <v>#DIV/0!</v>
      </c>
      <c r="AE46" s="93">
        <f>+'REVENUE DATA'!$D$17</f>
        <v>30</v>
      </c>
      <c r="AF46" s="90" t="e">
        <f t="shared" si="30"/>
        <v>#DIV/0!</v>
      </c>
      <c r="AG46" s="91" t="e">
        <f t="shared" si="31"/>
        <v>#DIV/0!</v>
      </c>
      <c r="AH46" s="92">
        <f t="shared" si="32"/>
        <v>0</v>
      </c>
    </row>
    <row r="47" spans="1:34" x14ac:dyDescent="0.3">
      <c r="A47" s="223"/>
      <c r="B47" s="4"/>
      <c r="C47" s="4" t="str">
        <f t="shared" si="21"/>
        <v>Caraffa colonna dritta</v>
      </c>
      <c r="D47" s="5">
        <f t="shared" si="21"/>
        <v>2</v>
      </c>
      <c r="E47" s="5">
        <f t="shared" si="21"/>
        <v>1</v>
      </c>
      <c r="F47" s="5">
        <f t="shared" si="21"/>
        <v>1.4</v>
      </c>
      <c r="G47" s="5">
        <f t="shared" si="21"/>
        <v>100</v>
      </c>
      <c r="H47" s="4">
        <f t="shared" si="21"/>
        <v>3.2796365999999998E-4</v>
      </c>
      <c r="I47" s="6">
        <f t="shared" si="21"/>
        <v>0.91101016666666657</v>
      </c>
      <c r="J47" s="6">
        <f t="shared" si="21"/>
        <v>0.81990914999999998</v>
      </c>
      <c r="R47" s="23">
        <v>0</v>
      </c>
      <c r="S47" s="6">
        <f t="shared" si="19"/>
        <v>0</v>
      </c>
      <c r="T47" s="6">
        <f t="shared" si="22"/>
        <v>0</v>
      </c>
      <c r="U47" s="4">
        <f t="shared" si="23"/>
        <v>0</v>
      </c>
      <c r="V47" s="115">
        <f>+S47*$M$3/'COST DATA'!$D$26</f>
        <v>0</v>
      </c>
      <c r="W47" s="16">
        <f t="shared" ref="W47:W56" si="33">+U47*$N$3</f>
        <v>0</v>
      </c>
      <c r="X47" s="27">
        <f t="shared" si="25"/>
        <v>0</v>
      </c>
      <c r="Y47" s="27">
        <f t="shared" si="26"/>
        <v>0</v>
      </c>
      <c r="Z47" s="4">
        <f t="shared" si="27"/>
        <v>0</v>
      </c>
      <c r="AA47" s="82">
        <f>+'Finished goods'!$O$3*'PRIVATE CUSTOMER (BtoC)'!T47</f>
        <v>0</v>
      </c>
      <c r="AB47" s="82">
        <f>+'Finished goods'!$P$18*R47</f>
        <v>0</v>
      </c>
      <c r="AC47" s="83">
        <f t="shared" si="28"/>
        <v>0</v>
      </c>
      <c r="AD47" s="93" t="e">
        <f t="shared" si="29"/>
        <v>#DIV/0!</v>
      </c>
      <c r="AE47" s="93">
        <f>+'REVENUE DATA'!$D$18</f>
        <v>30</v>
      </c>
      <c r="AF47" s="90" t="e">
        <f t="shared" si="30"/>
        <v>#DIV/0!</v>
      </c>
      <c r="AG47" s="91" t="e">
        <f t="shared" si="31"/>
        <v>#DIV/0!</v>
      </c>
      <c r="AH47" s="92">
        <f t="shared" si="32"/>
        <v>0</v>
      </c>
    </row>
    <row r="48" spans="1:34" x14ac:dyDescent="0.3">
      <c r="A48" s="223"/>
      <c r="B48" s="4"/>
      <c r="C48" s="4" t="str">
        <f t="shared" si="21"/>
        <v>Caraffa colonna twist1</v>
      </c>
      <c r="D48" s="5">
        <f t="shared" si="21"/>
        <v>2</v>
      </c>
      <c r="E48" s="5">
        <f t="shared" si="21"/>
        <v>1</v>
      </c>
      <c r="F48" s="5">
        <f t="shared" si="21"/>
        <v>1.41</v>
      </c>
      <c r="G48" s="5">
        <f t="shared" si="21"/>
        <v>101</v>
      </c>
      <c r="H48" s="4">
        <f t="shared" si="21"/>
        <v>3.323221E-4</v>
      </c>
      <c r="I48" s="6">
        <f t="shared" si="21"/>
        <v>0.92311694444444448</v>
      </c>
      <c r="J48" s="6">
        <f t="shared" si="21"/>
        <v>0.83080525000000005</v>
      </c>
      <c r="R48" s="23">
        <v>0</v>
      </c>
      <c r="S48" s="6">
        <f t="shared" si="19"/>
        <v>0</v>
      </c>
      <c r="T48" s="6">
        <f t="shared" si="22"/>
        <v>0</v>
      </c>
      <c r="U48" s="4">
        <f t="shared" si="23"/>
        <v>0</v>
      </c>
      <c r="V48" s="115">
        <f>+S48*$M$3/'COST DATA'!$D$26</f>
        <v>0</v>
      </c>
      <c r="W48" s="16">
        <f t="shared" si="33"/>
        <v>0</v>
      </c>
      <c r="X48" s="27">
        <f t="shared" si="25"/>
        <v>0</v>
      </c>
      <c r="Y48" s="27">
        <f t="shared" si="26"/>
        <v>0</v>
      </c>
      <c r="Z48" s="4">
        <f t="shared" si="27"/>
        <v>0</v>
      </c>
      <c r="AA48" s="82">
        <f>+'Finished goods'!$O$3*'PRIVATE CUSTOMER (BtoC)'!T48</f>
        <v>0</v>
      </c>
      <c r="AB48" s="82">
        <f>+'Finished goods'!$P$19*R48</f>
        <v>0</v>
      </c>
      <c r="AC48" s="83">
        <f t="shared" si="28"/>
        <v>0</v>
      </c>
      <c r="AD48" s="93" t="e">
        <f t="shared" si="29"/>
        <v>#DIV/0!</v>
      </c>
      <c r="AE48" s="93">
        <f>+'REVENUE DATA'!$D$19</f>
        <v>30</v>
      </c>
      <c r="AF48" s="90" t="e">
        <f t="shared" si="30"/>
        <v>#DIV/0!</v>
      </c>
      <c r="AG48" s="91" t="e">
        <f t="shared" si="31"/>
        <v>#DIV/0!</v>
      </c>
      <c r="AH48" s="92">
        <f t="shared" si="32"/>
        <v>0</v>
      </c>
    </row>
    <row r="49" spans="1:34" x14ac:dyDescent="0.3">
      <c r="A49" s="223"/>
      <c r="B49" s="4"/>
      <c r="C49" s="4" t="str">
        <f t="shared" si="21"/>
        <v>Caraffa colonna twist2</v>
      </c>
      <c r="D49" s="5">
        <f t="shared" si="21"/>
        <v>2</v>
      </c>
      <c r="E49" s="5">
        <f t="shared" si="21"/>
        <v>1</v>
      </c>
      <c r="F49" s="5">
        <f t="shared" si="21"/>
        <v>1.45</v>
      </c>
      <c r="G49" s="5">
        <f t="shared" si="21"/>
        <v>105</v>
      </c>
      <c r="H49" s="4">
        <f t="shared" si="21"/>
        <v>3.4271101000000001E-4</v>
      </c>
      <c r="I49" s="6">
        <f t="shared" si="21"/>
        <v>0.95197502777777776</v>
      </c>
      <c r="J49" s="6">
        <f t="shared" si="21"/>
        <v>0.85677752500000004</v>
      </c>
      <c r="R49" s="23">
        <v>0</v>
      </c>
      <c r="S49" s="6">
        <f t="shared" si="19"/>
        <v>0</v>
      </c>
      <c r="T49" s="6">
        <f t="shared" si="22"/>
        <v>0</v>
      </c>
      <c r="U49" s="4">
        <f t="shared" si="23"/>
        <v>0</v>
      </c>
      <c r="V49" s="115">
        <f>+S49*$M$3/'COST DATA'!$D$26</f>
        <v>0</v>
      </c>
      <c r="W49" s="16">
        <f t="shared" si="33"/>
        <v>0</v>
      </c>
      <c r="X49" s="27">
        <f t="shared" si="25"/>
        <v>0</v>
      </c>
      <c r="Y49" s="27">
        <f t="shared" si="26"/>
        <v>0</v>
      </c>
      <c r="Z49" s="4">
        <f t="shared" si="27"/>
        <v>0</v>
      </c>
      <c r="AA49" s="82">
        <f>+'Finished goods'!$O$3*'PRIVATE CUSTOMER (BtoC)'!T49</f>
        <v>0</v>
      </c>
      <c r="AB49" s="82">
        <f>+'Finished goods'!$P$20*R49</f>
        <v>0</v>
      </c>
      <c r="AC49" s="83">
        <f t="shared" si="28"/>
        <v>0</v>
      </c>
      <c r="AD49" s="93" t="e">
        <f t="shared" si="29"/>
        <v>#DIV/0!</v>
      </c>
      <c r="AE49" s="93">
        <f>+'REVENUE DATA'!$D$20</f>
        <v>30</v>
      </c>
      <c r="AF49" s="90" t="e">
        <f t="shared" si="30"/>
        <v>#DIV/0!</v>
      </c>
      <c r="AG49" s="91" t="e">
        <f t="shared" si="31"/>
        <v>#DIV/0!</v>
      </c>
      <c r="AH49" s="92">
        <f t="shared" si="32"/>
        <v>0</v>
      </c>
    </row>
    <row r="50" spans="1:34" x14ac:dyDescent="0.3">
      <c r="A50" s="223"/>
      <c r="B50" s="4"/>
      <c r="C50" s="4" t="str">
        <f t="shared" si="21"/>
        <v>Caraffa colonna twist3</v>
      </c>
      <c r="D50" s="5">
        <f t="shared" si="21"/>
        <v>2</v>
      </c>
      <c r="E50" s="5">
        <f t="shared" si="21"/>
        <v>1</v>
      </c>
      <c r="F50" s="5">
        <f t="shared" si="21"/>
        <v>1.42</v>
      </c>
      <c r="G50" s="5">
        <f t="shared" si="21"/>
        <v>102</v>
      </c>
      <c r="H50" s="4">
        <f t="shared" si="21"/>
        <v>3.3727121999999998E-4</v>
      </c>
      <c r="I50" s="6">
        <f t="shared" si="21"/>
        <v>0.93686449999999988</v>
      </c>
      <c r="J50" s="6">
        <f t="shared" si="21"/>
        <v>0.8431780499999999</v>
      </c>
      <c r="R50" s="23">
        <v>0</v>
      </c>
      <c r="S50" s="6">
        <f t="shared" si="19"/>
        <v>0</v>
      </c>
      <c r="T50" s="6">
        <f t="shared" si="22"/>
        <v>0</v>
      </c>
      <c r="U50" s="4">
        <f t="shared" si="23"/>
        <v>0</v>
      </c>
      <c r="V50" s="115">
        <f>+S50*$M$3/'COST DATA'!$D$26</f>
        <v>0</v>
      </c>
      <c r="W50" s="16">
        <f t="shared" si="33"/>
        <v>0</v>
      </c>
      <c r="X50" s="27">
        <f t="shared" si="25"/>
        <v>0</v>
      </c>
      <c r="Y50" s="27">
        <f t="shared" si="26"/>
        <v>0</v>
      </c>
      <c r="Z50" s="4">
        <f t="shared" si="27"/>
        <v>0</v>
      </c>
      <c r="AA50" s="82">
        <f>+'Finished goods'!$O$3*'PRIVATE CUSTOMER (BtoC)'!T50</f>
        <v>0</v>
      </c>
      <c r="AB50" s="82">
        <f>+'Finished goods'!$P$21*R50</f>
        <v>0</v>
      </c>
      <c r="AC50" s="83">
        <f t="shared" si="28"/>
        <v>0</v>
      </c>
      <c r="AD50" s="93" t="e">
        <f t="shared" si="29"/>
        <v>#DIV/0!</v>
      </c>
      <c r="AE50" s="93">
        <f>+'REVENUE DATA'!$D$21</f>
        <v>30</v>
      </c>
      <c r="AF50" s="90" t="e">
        <f t="shared" si="30"/>
        <v>#DIV/0!</v>
      </c>
      <c r="AG50" s="91" t="e">
        <f t="shared" si="31"/>
        <v>#DIV/0!</v>
      </c>
      <c r="AH50" s="92">
        <f t="shared" si="32"/>
        <v>0</v>
      </c>
    </row>
    <row r="51" spans="1:34" x14ac:dyDescent="0.3">
      <c r="A51" s="223"/>
      <c r="B51" s="4"/>
      <c r="C51" s="4" t="str">
        <f t="shared" si="21"/>
        <v>Bicchiere colonna twist1</v>
      </c>
      <c r="D51" s="5">
        <f t="shared" si="21"/>
        <v>1</v>
      </c>
      <c r="E51" s="5">
        <f t="shared" si="21"/>
        <v>1</v>
      </c>
      <c r="F51" s="5">
        <f t="shared" si="21"/>
        <v>0.57999999999999996</v>
      </c>
      <c r="G51" s="5">
        <f t="shared" si="21"/>
        <v>58</v>
      </c>
      <c r="H51" s="4">
        <f t="shared" si="21"/>
        <v>9.7981700000000004E-5</v>
      </c>
      <c r="I51" s="6">
        <f t="shared" si="21"/>
        <v>0.27217138888888892</v>
      </c>
      <c r="J51" s="6">
        <f t="shared" si="21"/>
        <v>0.24495425000000001</v>
      </c>
      <c r="R51" s="23">
        <v>0</v>
      </c>
      <c r="S51" s="6">
        <f t="shared" si="19"/>
        <v>0</v>
      </c>
      <c r="T51" s="6">
        <f t="shared" si="22"/>
        <v>0</v>
      </c>
      <c r="U51" s="4">
        <f t="shared" si="23"/>
        <v>0</v>
      </c>
      <c r="V51" s="115">
        <f>+S51*$M$3/'COST DATA'!$D$26</f>
        <v>0</v>
      </c>
      <c r="W51" s="16">
        <f t="shared" si="33"/>
        <v>0</v>
      </c>
      <c r="X51" s="27">
        <f t="shared" si="25"/>
        <v>0</v>
      </c>
      <c r="Y51" s="27">
        <f t="shared" si="26"/>
        <v>0</v>
      </c>
      <c r="Z51" s="4">
        <f t="shared" si="27"/>
        <v>0</v>
      </c>
      <c r="AA51" s="82">
        <f>+'Finished goods'!$O$3*'PRIVATE CUSTOMER (BtoC)'!T51</f>
        <v>0</v>
      </c>
      <c r="AB51" s="82">
        <f>+'Finished goods'!$P$22*R51</f>
        <v>0</v>
      </c>
      <c r="AC51" s="83">
        <f t="shared" si="28"/>
        <v>0</v>
      </c>
      <c r="AD51" s="93" t="e">
        <f t="shared" si="29"/>
        <v>#DIV/0!</v>
      </c>
      <c r="AE51" s="93">
        <f>+'REVENUE DATA'!$D$22</f>
        <v>0</v>
      </c>
      <c r="AF51" s="90" t="e">
        <f t="shared" si="30"/>
        <v>#DIV/0!</v>
      </c>
      <c r="AG51" s="91" t="e">
        <f t="shared" si="31"/>
        <v>#DIV/0!</v>
      </c>
      <c r="AH51" s="92">
        <f t="shared" si="32"/>
        <v>0</v>
      </c>
    </row>
    <row r="52" spans="1:34" x14ac:dyDescent="0.3">
      <c r="A52" s="223"/>
      <c r="B52" s="4"/>
      <c r="C52" s="4" t="str">
        <f t="shared" si="21"/>
        <v>Bicchiere colonna twist2</v>
      </c>
      <c r="D52" s="5">
        <f t="shared" si="21"/>
        <v>1</v>
      </c>
      <c r="E52" s="5">
        <f t="shared" si="21"/>
        <v>1</v>
      </c>
      <c r="F52" s="5">
        <f t="shared" si="21"/>
        <v>0.59</v>
      </c>
      <c r="G52" s="5">
        <f t="shared" si="21"/>
        <v>59</v>
      </c>
      <c r="H52" s="4">
        <f t="shared" si="21"/>
        <v>9.7982366999999995E-5</v>
      </c>
      <c r="I52" s="6">
        <f t="shared" si="21"/>
        <v>0.27217324166666662</v>
      </c>
      <c r="J52" s="6">
        <f t="shared" si="21"/>
        <v>0.24495591749999998</v>
      </c>
      <c r="R52" s="23">
        <v>0</v>
      </c>
      <c r="S52" s="6">
        <f t="shared" si="19"/>
        <v>0</v>
      </c>
      <c r="T52" s="6">
        <f t="shared" si="22"/>
        <v>0</v>
      </c>
      <c r="U52" s="4">
        <f t="shared" si="23"/>
        <v>0</v>
      </c>
      <c r="V52" s="115">
        <f>+S52*$M$3/'COST DATA'!$D$26</f>
        <v>0</v>
      </c>
      <c r="W52" s="16">
        <f t="shared" si="33"/>
        <v>0</v>
      </c>
      <c r="X52" s="27">
        <f t="shared" si="25"/>
        <v>0</v>
      </c>
      <c r="Y52" s="27">
        <f t="shared" si="26"/>
        <v>0</v>
      </c>
      <c r="Z52" s="4">
        <f t="shared" si="27"/>
        <v>0</v>
      </c>
      <c r="AA52" s="82">
        <f>+'Finished goods'!$O$3*'PRIVATE CUSTOMER (BtoC)'!T52</f>
        <v>0</v>
      </c>
      <c r="AB52" s="82">
        <f>+'Finished goods'!$P$23*R52</f>
        <v>0</v>
      </c>
      <c r="AC52" s="83">
        <f t="shared" si="28"/>
        <v>0</v>
      </c>
      <c r="AD52" s="93" t="e">
        <f t="shared" si="29"/>
        <v>#DIV/0!</v>
      </c>
      <c r="AE52" s="93">
        <f>+'REVENUE DATA'!$D$23</f>
        <v>0</v>
      </c>
      <c r="AF52" s="90" t="e">
        <f t="shared" si="30"/>
        <v>#DIV/0!</v>
      </c>
      <c r="AG52" s="91" t="e">
        <f t="shared" si="31"/>
        <v>#DIV/0!</v>
      </c>
      <c r="AH52" s="92">
        <f t="shared" si="32"/>
        <v>0</v>
      </c>
    </row>
    <row r="53" spans="1:34" x14ac:dyDescent="0.3">
      <c r="A53" s="223"/>
      <c r="B53" s="4"/>
      <c r="C53" s="4" t="str">
        <f t="shared" si="21"/>
        <v>Bicchiere colonna twist3</v>
      </c>
      <c r="D53" s="5">
        <f t="shared" si="21"/>
        <v>1</v>
      </c>
      <c r="E53" s="5">
        <f t="shared" si="21"/>
        <v>1</v>
      </c>
      <c r="F53" s="5">
        <f t="shared" si="21"/>
        <v>0.59</v>
      </c>
      <c r="G53" s="5">
        <f t="shared" si="21"/>
        <v>59</v>
      </c>
      <c r="H53" s="4">
        <f t="shared" si="21"/>
        <v>9.7984652999999995E-5</v>
      </c>
      <c r="I53" s="6">
        <f t="shared" si="21"/>
        <v>0.27217959166666666</v>
      </c>
      <c r="J53" s="6">
        <f t="shared" si="21"/>
        <v>0.2449616325</v>
      </c>
      <c r="R53" s="23">
        <v>0</v>
      </c>
      <c r="S53" s="6">
        <f t="shared" si="19"/>
        <v>0</v>
      </c>
      <c r="T53" s="6">
        <f t="shared" si="22"/>
        <v>0</v>
      </c>
      <c r="U53" s="4">
        <f t="shared" si="23"/>
        <v>0</v>
      </c>
      <c r="V53" s="115">
        <f>+S53*$M$3/'COST DATA'!$D$26</f>
        <v>0</v>
      </c>
      <c r="W53" s="16">
        <f t="shared" si="33"/>
        <v>0</v>
      </c>
      <c r="X53" s="27">
        <f t="shared" si="25"/>
        <v>0</v>
      </c>
      <c r="Y53" s="27">
        <f t="shared" si="26"/>
        <v>0</v>
      </c>
      <c r="Z53" s="4">
        <f t="shared" si="27"/>
        <v>0</v>
      </c>
      <c r="AA53" s="82">
        <f>+'Finished goods'!$O$3*'PRIVATE CUSTOMER (BtoC)'!T53</f>
        <v>0</v>
      </c>
      <c r="AB53" s="82">
        <f>+'Finished goods'!$P$24*R53</f>
        <v>0</v>
      </c>
      <c r="AC53" s="83">
        <f t="shared" si="28"/>
        <v>0</v>
      </c>
      <c r="AD53" s="93" t="e">
        <f t="shared" si="29"/>
        <v>#DIV/0!</v>
      </c>
      <c r="AE53" s="93">
        <f>+'REVENUE DATA'!$D$24</f>
        <v>0</v>
      </c>
      <c r="AF53" s="90" t="e">
        <f t="shared" si="30"/>
        <v>#DIV/0!</v>
      </c>
      <c r="AG53" s="91" t="e">
        <f t="shared" si="31"/>
        <v>#DIV/0!</v>
      </c>
      <c r="AH53" s="92">
        <f t="shared" si="32"/>
        <v>0</v>
      </c>
    </row>
    <row r="54" spans="1:34" x14ac:dyDescent="0.3">
      <c r="A54" s="223"/>
      <c r="B54" s="4"/>
      <c r="C54" s="4" t="str">
        <f t="shared" si="21"/>
        <v>Bicchiere colonna twist alto</v>
      </c>
      <c r="D54" s="5">
        <f t="shared" si="21"/>
        <v>1</v>
      </c>
      <c r="E54" s="5">
        <f t="shared" si="21"/>
        <v>1</v>
      </c>
      <c r="F54" s="5">
        <f t="shared" si="21"/>
        <v>0.57999999999999996</v>
      </c>
      <c r="G54" s="5">
        <f t="shared" si="21"/>
        <v>58</v>
      </c>
      <c r="H54" s="4">
        <f t="shared" si="21"/>
        <v>9.4065272999999995E-5</v>
      </c>
      <c r="I54" s="6">
        <f t="shared" si="21"/>
        <v>0.26129242499999999</v>
      </c>
      <c r="J54" s="6">
        <f t="shared" si="21"/>
        <v>0.23516318249999998</v>
      </c>
      <c r="R54" s="23">
        <v>0</v>
      </c>
      <c r="S54" s="6">
        <f t="shared" si="19"/>
        <v>0</v>
      </c>
      <c r="T54" s="6">
        <f t="shared" si="22"/>
        <v>0</v>
      </c>
      <c r="U54" s="4">
        <f t="shared" si="23"/>
        <v>0</v>
      </c>
      <c r="V54" s="115">
        <f>+S54*$M$3/'COST DATA'!$D$26</f>
        <v>0</v>
      </c>
      <c r="W54" s="16">
        <f t="shared" si="33"/>
        <v>0</v>
      </c>
      <c r="X54" s="27">
        <f t="shared" si="25"/>
        <v>0</v>
      </c>
      <c r="Y54" s="27">
        <f t="shared" si="26"/>
        <v>0</v>
      </c>
      <c r="Z54" s="4">
        <f t="shared" si="27"/>
        <v>0</v>
      </c>
      <c r="AA54" s="82">
        <f>+'Finished goods'!$O$3*'PRIVATE CUSTOMER (BtoC)'!T54</f>
        <v>0</v>
      </c>
      <c r="AB54" s="82">
        <f>+'Finished goods'!$P$25*R54</f>
        <v>0</v>
      </c>
      <c r="AC54" s="83">
        <f t="shared" si="28"/>
        <v>0</v>
      </c>
      <c r="AD54" s="93" t="e">
        <f t="shared" si="29"/>
        <v>#DIV/0!</v>
      </c>
      <c r="AE54" s="93">
        <f>+'REVENUE DATA'!$D$25</f>
        <v>0</v>
      </c>
      <c r="AF54" s="90" t="e">
        <f t="shared" si="30"/>
        <v>#DIV/0!</v>
      </c>
      <c r="AG54" s="91" t="e">
        <f t="shared" si="31"/>
        <v>#DIV/0!</v>
      </c>
      <c r="AH54" s="92">
        <f t="shared" si="32"/>
        <v>0</v>
      </c>
    </row>
    <row r="55" spans="1:34" x14ac:dyDescent="0.3">
      <c r="A55" s="223"/>
      <c r="B55" s="4"/>
      <c r="C55" s="4" t="str">
        <f t="shared" si="21"/>
        <v>Oliera1</v>
      </c>
      <c r="D55" s="5">
        <f t="shared" si="21"/>
        <v>2</v>
      </c>
      <c r="E55" s="5">
        <f t="shared" si="21"/>
        <v>1</v>
      </c>
      <c r="F55" s="5">
        <f t="shared" si="21"/>
        <v>0.54</v>
      </c>
      <c r="G55" s="5">
        <f t="shared" si="21"/>
        <v>54</v>
      </c>
      <c r="H55" s="4">
        <f t="shared" si="21"/>
        <v>1.830542E-4</v>
      </c>
      <c r="I55" s="6">
        <f t="shared" si="21"/>
        <v>0.50848388888888885</v>
      </c>
      <c r="J55" s="6">
        <f t="shared" si="21"/>
        <v>0.45763549999999997</v>
      </c>
      <c r="R55" s="23">
        <v>0</v>
      </c>
      <c r="S55" s="6">
        <f t="shared" si="19"/>
        <v>0</v>
      </c>
      <c r="T55" s="6">
        <f t="shared" si="22"/>
        <v>0</v>
      </c>
      <c r="U55" s="4">
        <f t="shared" si="23"/>
        <v>0</v>
      </c>
      <c r="V55" s="115">
        <f>+S55*$M$3/'COST DATA'!$D$26</f>
        <v>0</v>
      </c>
      <c r="W55" s="16">
        <f t="shared" si="33"/>
        <v>0</v>
      </c>
      <c r="X55" s="27">
        <f t="shared" si="25"/>
        <v>0</v>
      </c>
      <c r="Y55" s="27">
        <f t="shared" si="26"/>
        <v>0</v>
      </c>
      <c r="Z55" s="4">
        <f t="shared" si="27"/>
        <v>0</v>
      </c>
      <c r="AA55" s="82">
        <f>+'Finished goods'!$O$3*'PRIVATE CUSTOMER (BtoC)'!T55</f>
        <v>0</v>
      </c>
      <c r="AB55" s="82">
        <f>+'Finished goods'!$P$26*R55</f>
        <v>0</v>
      </c>
      <c r="AC55" s="83">
        <f t="shared" si="28"/>
        <v>0</v>
      </c>
      <c r="AD55" s="93" t="e">
        <f t="shared" si="29"/>
        <v>#DIV/0!</v>
      </c>
      <c r="AE55" s="93">
        <f>+'REVENUE DATA'!$D$26</f>
        <v>0</v>
      </c>
      <c r="AF55" s="90" t="e">
        <f t="shared" si="30"/>
        <v>#DIV/0!</v>
      </c>
      <c r="AG55" s="91" t="e">
        <f t="shared" si="31"/>
        <v>#DIV/0!</v>
      </c>
      <c r="AH55" s="92">
        <f t="shared" si="32"/>
        <v>0</v>
      </c>
    </row>
    <row r="56" spans="1:34" ht="15" thickBot="1" x14ac:dyDescent="0.35">
      <c r="A56" s="224"/>
      <c r="B56" s="4"/>
      <c r="C56" s="4" t="str">
        <f t="shared" si="21"/>
        <v>Piatto spirale</v>
      </c>
      <c r="D56" s="5">
        <f t="shared" si="21"/>
        <v>4</v>
      </c>
      <c r="E56" s="5">
        <f t="shared" si="21"/>
        <v>5</v>
      </c>
      <c r="F56" s="5">
        <f t="shared" si="21"/>
        <v>0.25</v>
      </c>
      <c r="G56" s="5">
        <f t="shared" si="21"/>
        <v>25</v>
      </c>
      <c r="H56" s="4">
        <f t="shared" si="21"/>
        <v>1.575448E-4</v>
      </c>
      <c r="I56" s="6">
        <f t="shared" si="21"/>
        <v>0.43762444444444443</v>
      </c>
      <c r="J56" s="6">
        <f t="shared" si="21"/>
        <v>0.39386199999999999</v>
      </c>
      <c r="R56" s="23">
        <v>0</v>
      </c>
      <c r="S56" s="6">
        <f t="shared" si="19"/>
        <v>0</v>
      </c>
      <c r="T56" s="6">
        <f t="shared" si="22"/>
        <v>0</v>
      </c>
      <c r="U56" s="4">
        <f t="shared" si="23"/>
        <v>0</v>
      </c>
      <c r="V56" s="116">
        <f>+S56*$M$3/'COST DATA'!$D$26</f>
        <v>0</v>
      </c>
      <c r="W56" s="117">
        <f t="shared" si="33"/>
        <v>0</v>
      </c>
      <c r="X56" s="118">
        <f t="shared" si="25"/>
        <v>0</v>
      </c>
      <c r="Y56" s="118">
        <f t="shared" si="26"/>
        <v>0</v>
      </c>
      <c r="Z56" s="119">
        <f t="shared" si="27"/>
        <v>0</v>
      </c>
      <c r="AA56" s="85">
        <f>+'Finished goods'!$O$3*'PRIVATE CUSTOMER (BtoC)'!T56</f>
        <v>0</v>
      </c>
      <c r="AB56" s="85">
        <f>+'Finished goods'!$P$27*R56</f>
        <v>0</v>
      </c>
      <c r="AC56" s="86">
        <f t="shared" si="28"/>
        <v>0</v>
      </c>
      <c r="AD56" s="93" t="e">
        <f t="shared" si="29"/>
        <v>#DIV/0!</v>
      </c>
      <c r="AE56" s="93">
        <f>+'REVENUE DATA'!$D$27</f>
        <v>0</v>
      </c>
      <c r="AF56" s="90" t="e">
        <f t="shared" si="30"/>
        <v>#DIV/0!</v>
      </c>
      <c r="AG56" s="91" t="e">
        <f t="shared" si="31"/>
        <v>#DIV/0!</v>
      </c>
      <c r="AH56" s="92">
        <f t="shared" si="32"/>
        <v>0</v>
      </c>
    </row>
    <row r="59" spans="1:34" ht="18.600000000000001" thickBot="1" x14ac:dyDescent="0.4">
      <c r="D59" s="237" t="s">
        <v>40</v>
      </c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10" t="s">
        <v>32</v>
      </c>
      <c r="S59" s="87">
        <f>+S61/60/7</f>
        <v>0</v>
      </c>
      <c r="T59" s="88" t="s">
        <v>83</v>
      </c>
    </row>
    <row r="60" spans="1:34" x14ac:dyDescent="0.3">
      <c r="D60" s="236" t="s">
        <v>33</v>
      </c>
      <c r="E60" s="236"/>
      <c r="F60" s="236"/>
      <c r="G60" s="236"/>
      <c r="H60" s="236"/>
      <c r="I60" s="236"/>
      <c r="J60" s="236"/>
      <c r="M60" s="236" t="s">
        <v>36</v>
      </c>
      <c r="N60" s="236"/>
      <c r="O60" s="236"/>
      <c r="P60" s="236"/>
      <c r="Q60" s="236"/>
      <c r="V60" s="238" t="s">
        <v>135</v>
      </c>
      <c r="W60" s="239"/>
      <c r="X60" s="239"/>
      <c r="Y60" s="239"/>
      <c r="Z60" s="239"/>
      <c r="AA60" s="239"/>
      <c r="AB60" s="239"/>
      <c r="AC60" s="240"/>
    </row>
    <row r="61" spans="1:34" ht="18" x14ac:dyDescent="0.35">
      <c r="F61" s="225" t="s">
        <v>44</v>
      </c>
      <c r="G61" s="225"/>
      <c r="I61" s="20">
        <f>SUBTOTAL(9,I63:I85)</f>
        <v>59.570075669444442</v>
      </c>
      <c r="J61" s="20">
        <f>SUBTOTAL(9,J63:J85)</f>
        <v>53.613068102499987</v>
      </c>
      <c r="K61" s="1">
        <f>+'Finished goods'!$I$3</f>
        <v>2500</v>
      </c>
      <c r="L61" s="1">
        <f>+'Finished goods'!$J$3</f>
        <v>0.9</v>
      </c>
      <c r="M61" s="15">
        <f>+'Finished goods'!$K$3</f>
        <v>0.50772709939119998</v>
      </c>
      <c r="N61" s="15">
        <f>+'Finished goods'!$L$3</f>
        <v>6.7889999999999999E-3</v>
      </c>
      <c r="O61" s="13">
        <f>+'Finished goods'!$M$3</f>
        <v>0.15750000000000003</v>
      </c>
      <c r="P61" s="46">
        <f>+'Finished goods'!$N$3</f>
        <v>5.8880308880308881E-2</v>
      </c>
      <c r="Q61" s="1"/>
      <c r="S61" s="17">
        <f>SUBTOTAL(9,S63:S85)</f>
        <v>0</v>
      </c>
      <c r="T61" s="17">
        <f>SUBTOTAL(9,T63:T85)</f>
        <v>0</v>
      </c>
      <c r="U61" s="75">
        <f>SUBTOTAL(9,U63:U85)</f>
        <v>0</v>
      </c>
      <c r="V61" s="77">
        <f t="shared" ref="V61:AC61" si="34">SUBTOTAL(9,V63:V85)</f>
        <v>0</v>
      </c>
      <c r="W61" s="17">
        <f t="shared" si="34"/>
        <v>0</v>
      </c>
      <c r="X61" s="17">
        <f t="shared" si="34"/>
        <v>0</v>
      </c>
      <c r="Y61" s="17">
        <f t="shared" si="34"/>
        <v>0</v>
      </c>
      <c r="Z61" s="17">
        <f t="shared" si="34"/>
        <v>0</v>
      </c>
      <c r="AA61" s="17">
        <f t="shared" si="34"/>
        <v>0</v>
      </c>
      <c r="AB61" s="17">
        <f t="shared" si="34"/>
        <v>0</v>
      </c>
      <c r="AC61" s="78">
        <f t="shared" si="34"/>
        <v>0</v>
      </c>
      <c r="AF61" s="225" t="s">
        <v>118</v>
      </c>
      <c r="AG61" s="225"/>
      <c r="AH61" s="108">
        <f t="shared" ref="AH61" si="35">SUBTOTAL(9,AH63:AH85)</f>
        <v>0</v>
      </c>
    </row>
    <row r="62" spans="1:34" x14ac:dyDescent="0.3">
      <c r="A62" s="1" t="s">
        <v>145</v>
      </c>
      <c r="B62" s="1" t="s">
        <v>30</v>
      </c>
      <c r="C62" s="1" t="s">
        <v>0</v>
      </c>
      <c r="D62" s="1" t="s">
        <v>4</v>
      </c>
      <c r="E62" s="1" t="s">
        <v>5</v>
      </c>
      <c r="F62" s="1" t="s">
        <v>45</v>
      </c>
      <c r="G62" s="1" t="s">
        <v>57</v>
      </c>
      <c r="H62" s="1" t="s">
        <v>6</v>
      </c>
      <c r="I62" s="1" t="s">
        <v>2</v>
      </c>
      <c r="J62" s="1" t="s">
        <v>7</v>
      </c>
      <c r="K62" s="1" t="s">
        <v>31</v>
      </c>
      <c r="L62" s="1" t="s">
        <v>8</v>
      </c>
      <c r="M62" s="1" t="s">
        <v>34</v>
      </c>
      <c r="N62" s="1" t="s">
        <v>35</v>
      </c>
      <c r="O62" s="1" t="s">
        <v>37</v>
      </c>
      <c r="P62" s="1" t="s">
        <v>93</v>
      </c>
      <c r="Q62" s="1" t="s">
        <v>94</v>
      </c>
      <c r="R62" s="11" t="s">
        <v>39</v>
      </c>
      <c r="S62" s="2" t="s">
        <v>43</v>
      </c>
      <c r="T62" s="2" t="s">
        <v>2</v>
      </c>
      <c r="U62" s="76" t="s">
        <v>7</v>
      </c>
      <c r="V62" s="79" t="str">
        <f>+V4</f>
        <v>energia €/h</v>
      </c>
      <c r="W62" s="79" t="str">
        <f t="shared" ref="W62:AB62" si="36">+W4</f>
        <v>materiale €/Kg</v>
      </c>
      <c r="X62" s="79" t="str">
        <f t="shared" si="36"/>
        <v>mod</v>
      </c>
      <c r="Y62" s="79" t="str">
        <f t="shared" si="36"/>
        <v>ammort</v>
      </c>
      <c r="Z62" s="79" t="str">
        <f t="shared" si="36"/>
        <v>Accensione</v>
      </c>
      <c r="AA62" s="79" t="str">
        <f t="shared" si="36"/>
        <v>trasporto</v>
      </c>
      <c r="AB62" s="79" t="str">
        <f t="shared" si="36"/>
        <v>forniture</v>
      </c>
      <c r="AC62" s="80" t="s">
        <v>42</v>
      </c>
      <c r="AD62" s="53" t="s">
        <v>116</v>
      </c>
      <c r="AE62" s="1" t="s">
        <v>117</v>
      </c>
      <c r="AF62" s="1" t="s">
        <v>119</v>
      </c>
      <c r="AG62" s="1" t="s">
        <v>120</v>
      </c>
      <c r="AH62" s="1" t="s">
        <v>121</v>
      </c>
    </row>
    <row r="63" spans="1:34" x14ac:dyDescent="0.3">
      <c r="A63" s="222" t="s">
        <v>413</v>
      </c>
      <c r="B63" s="4"/>
      <c r="C63" s="4" t="str">
        <f>+C34</f>
        <v>Tavolo twist Logo</v>
      </c>
      <c r="D63" s="5">
        <f>+D34</f>
        <v>8</v>
      </c>
      <c r="E63" s="5">
        <f t="shared" ref="E63:J63" si="37">+E34</f>
        <v>10</v>
      </c>
      <c r="F63" s="5">
        <f t="shared" si="37"/>
        <v>1.22</v>
      </c>
      <c r="G63" s="5">
        <f t="shared" si="37"/>
        <v>82</v>
      </c>
      <c r="H63" s="4">
        <f t="shared" si="37"/>
        <v>7.9769999999999997E-3</v>
      </c>
      <c r="I63" s="6">
        <f t="shared" si="37"/>
        <v>22.158333333333331</v>
      </c>
      <c r="J63" s="6">
        <f t="shared" si="37"/>
        <v>19.942499999999999</v>
      </c>
      <c r="R63" s="23">
        <v>0</v>
      </c>
      <c r="S63" s="6">
        <f t="shared" ref="S63:S85" si="38">+G63*$R63</f>
        <v>0</v>
      </c>
      <c r="T63" s="6">
        <f t="shared" ref="T63" si="39">+I63*$R63</f>
        <v>0</v>
      </c>
      <c r="U63" s="4">
        <f>+J63*$R63</f>
        <v>0</v>
      </c>
      <c r="V63" s="115">
        <f>+S63*$M$3/'COST DATA'!$D$26</f>
        <v>0</v>
      </c>
      <c r="W63" s="16">
        <f>+U63*$N$3</f>
        <v>0</v>
      </c>
      <c r="X63" s="27">
        <f>+S63*$O$3</f>
        <v>0</v>
      </c>
      <c r="Y63" s="27">
        <f>+S63*$P$3</f>
        <v>0</v>
      </c>
      <c r="Z63" s="4">
        <f>+(S63/$S$3)*($S$1)</f>
        <v>0</v>
      </c>
      <c r="AA63" s="82">
        <f>+'Finished goods'!$O$3*'PRIVATE CUSTOMER (BtoC)'!T63</f>
        <v>0</v>
      </c>
      <c r="AB63" s="82">
        <f>+'Finished goods'!$P$5*R63</f>
        <v>0</v>
      </c>
      <c r="AC63" s="83">
        <f>SUM(V63:AB63)</f>
        <v>0</v>
      </c>
      <c r="AD63" s="93" t="e">
        <f>+AC63/R63</f>
        <v>#DIV/0!</v>
      </c>
      <c r="AE63" s="93">
        <f>+'REVENUE DATA'!$D$5</f>
        <v>1200</v>
      </c>
      <c r="AF63" s="90" t="e">
        <f>+AE63-AD63</f>
        <v>#DIV/0!</v>
      </c>
      <c r="AG63" s="91" t="e">
        <f>+AF63/AD63</f>
        <v>#DIV/0!</v>
      </c>
      <c r="AH63" s="92">
        <f>+AE63*R63</f>
        <v>0</v>
      </c>
    </row>
    <row r="64" spans="1:34" x14ac:dyDescent="0.3">
      <c r="A64" s="223"/>
      <c r="B64" s="4"/>
      <c r="C64" s="4" t="str">
        <f t="shared" ref="C64:J85" si="40">+C35</f>
        <v xml:space="preserve">Vaso bitorzolo curvo </v>
      </c>
      <c r="D64" s="5">
        <f t="shared" si="40"/>
        <v>4</v>
      </c>
      <c r="E64" s="5">
        <f t="shared" si="40"/>
        <v>2</v>
      </c>
      <c r="F64" s="5">
        <f t="shared" si="40"/>
        <v>5.21</v>
      </c>
      <c r="G64" s="5">
        <f t="shared" si="40"/>
        <v>321</v>
      </c>
      <c r="H64" s="4">
        <f t="shared" si="40"/>
        <v>6.0029599999999995E-4</v>
      </c>
      <c r="I64" s="6">
        <f t="shared" si="40"/>
        <v>1.6674888888888888</v>
      </c>
      <c r="J64" s="6">
        <f t="shared" si="40"/>
        <v>1.50074</v>
      </c>
      <c r="R64" s="23">
        <v>0</v>
      </c>
      <c r="S64" s="6">
        <f t="shared" si="38"/>
        <v>0</v>
      </c>
      <c r="T64" s="6">
        <f t="shared" ref="T64:T85" si="41">+H64*$R64</f>
        <v>0</v>
      </c>
      <c r="U64" s="4">
        <f t="shared" ref="U64:U85" si="42">+J64*$R64</f>
        <v>0</v>
      </c>
      <c r="V64" s="115">
        <f>+S64*$M$3/'COST DATA'!$D$26</f>
        <v>0</v>
      </c>
      <c r="W64" s="16">
        <f t="shared" ref="W64:W74" si="43">+U64*$N$3</f>
        <v>0</v>
      </c>
      <c r="X64" s="27">
        <f t="shared" ref="X64:X85" si="44">+S64*$O$3</f>
        <v>0</v>
      </c>
      <c r="Y64" s="27">
        <f t="shared" ref="Y64:Y85" si="45">+S64*$P$3</f>
        <v>0</v>
      </c>
      <c r="Z64" s="4">
        <f t="shared" ref="Z64:Z85" si="46">+(S64/$S$3)*($S$1)</f>
        <v>0</v>
      </c>
      <c r="AA64" s="82">
        <f>+'Finished goods'!$O$3*'PRIVATE CUSTOMER (BtoC)'!T64</f>
        <v>0</v>
      </c>
      <c r="AB64" s="82">
        <f>+'Finished goods'!$P$6*R64</f>
        <v>0</v>
      </c>
      <c r="AC64" s="83">
        <f t="shared" ref="AC64:AC85" si="47">SUM(V64:AB64)</f>
        <v>0</v>
      </c>
      <c r="AD64" s="93" t="e">
        <f t="shared" ref="AD64:AD85" si="48">+AC64/R64</f>
        <v>#DIV/0!</v>
      </c>
      <c r="AE64" s="93">
        <f>+'REVENUE DATA'!$D$6</f>
        <v>350</v>
      </c>
      <c r="AF64" s="90" t="e">
        <f t="shared" ref="AF64:AF85" si="49">+AE64-AD64</f>
        <v>#DIV/0!</v>
      </c>
      <c r="AG64" s="91" t="e">
        <f t="shared" ref="AG64:AG85" si="50">+AF64/AD64</f>
        <v>#DIV/0!</v>
      </c>
      <c r="AH64" s="92">
        <f t="shared" ref="AH64:AH85" si="51">+AE64*R64</f>
        <v>0</v>
      </c>
    </row>
    <row r="65" spans="1:34" x14ac:dyDescent="0.3">
      <c r="A65" s="223"/>
      <c r="B65" s="4"/>
      <c r="C65" s="4" t="str">
        <f t="shared" si="40"/>
        <v>Vaso bitorzolo twist</v>
      </c>
      <c r="D65" s="5">
        <f t="shared" si="40"/>
        <v>4</v>
      </c>
      <c r="E65" s="5">
        <f t="shared" si="40"/>
        <v>2</v>
      </c>
      <c r="F65" s="5">
        <f t="shared" si="40"/>
        <v>5.15</v>
      </c>
      <c r="G65" s="5">
        <f t="shared" si="40"/>
        <v>315</v>
      </c>
      <c r="H65" s="4">
        <f t="shared" si="40"/>
        <v>8.005105E-4</v>
      </c>
      <c r="I65" s="6">
        <f t="shared" si="40"/>
        <v>2.2236402777777777</v>
      </c>
      <c r="J65" s="6">
        <f t="shared" si="40"/>
        <v>2.0012762500000001</v>
      </c>
      <c r="R65" s="23">
        <v>0</v>
      </c>
      <c r="S65" s="6">
        <f t="shared" si="38"/>
        <v>0</v>
      </c>
      <c r="T65" s="6">
        <f t="shared" si="41"/>
        <v>0</v>
      </c>
      <c r="U65" s="4">
        <f t="shared" si="42"/>
        <v>0</v>
      </c>
      <c r="V65" s="115">
        <f>+S65*$M$3/'COST DATA'!$D$26</f>
        <v>0</v>
      </c>
      <c r="W65" s="16">
        <f t="shared" si="43"/>
        <v>0</v>
      </c>
      <c r="X65" s="27">
        <f t="shared" si="44"/>
        <v>0</v>
      </c>
      <c r="Y65" s="27">
        <f t="shared" si="45"/>
        <v>0</v>
      </c>
      <c r="Z65" s="4">
        <f t="shared" si="46"/>
        <v>0</v>
      </c>
      <c r="AA65" s="82">
        <f>+'Finished goods'!$O$3*'PRIVATE CUSTOMER (BtoC)'!T65</f>
        <v>0</v>
      </c>
      <c r="AB65" s="82">
        <f>+'Finished goods'!$P$7*R65</f>
        <v>0</v>
      </c>
      <c r="AC65" s="83">
        <f t="shared" si="47"/>
        <v>0</v>
      </c>
      <c r="AD65" s="93" t="e">
        <f t="shared" si="48"/>
        <v>#DIV/0!</v>
      </c>
      <c r="AE65" s="93">
        <f>+'REVENUE DATA'!$D$7</f>
        <v>350</v>
      </c>
      <c r="AF65" s="90" t="e">
        <f t="shared" si="49"/>
        <v>#DIV/0!</v>
      </c>
      <c r="AG65" s="91" t="e">
        <f t="shared" si="50"/>
        <v>#DIV/0!</v>
      </c>
      <c r="AH65" s="92">
        <f t="shared" si="51"/>
        <v>0</v>
      </c>
    </row>
    <row r="66" spans="1:34" x14ac:dyDescent="0.3">
      <c r="A66" s="223"/>
      <c r="B66" s="4"/>
      <c r="C66" s="4" t="str">
        <f t="shared" si="40"/>
        <v>Vaso bitorzolo dritto</v>
      </c>
      <c r="D66" s="5">
        <f t="shared" si="40"/>
        <v>4</v>
      </c>
      <c r="E66" s="5">
        <f t="shared" si="40"/>
        <v>2</v>
      </c>
      <c r="F66" s="5">
        <f t="shared" si="40"/>
        <v>4.4800000000000004</v>
      </c>
      <c r="G66" s="5">
        <f t="shared" si="40"/>
        <v>288</v>
      </c>
      <c r="H66" s="4">
        <f t="shared" si="40"/>
        <v>8.2321687099999998E-4</v>
      </c>
      <c r="I66" s="6">
        <f t="shared" si="40"/>
        <v>2.2867135305555553</v>
      </c>
      <c r="J66" s="6">
        <f t="shared" si="40"/>
        <v>2.0580421775</v>
      </c>
      <c r="R66" s="23">
        <v>0</v>
      </c>
      <c r="S66" s="6">
        <f t="shared" si="38"/>
        <v>0</v>
      </c>
      <c r="T66" s="6">
        <f t="shared" si="41"/>
        <v>0</v>
      </c>
      <c r="U66" s="4">
        <f t="shared" si="42"/>
        <v>0</v>
      </c>
      <c r="V66" s="115">
        <f>+S66*$M$3/'COST DATA'!$D$26</f>
        <v>0</v>
      </c>
      <c r="W66" s="16">
        <f t="shared" si="43"/>
        <v>0</v>
      </c>
      <c r="X66" s="27">
        <f t="shared" si="44"/>
        <v>0</v>
      </c>
      <c r="Y66" s="27">
        <f t="shared" si="45"/>
        <v>0</v>
      </c>
      <c r="Z66" s="4">
        <f t="shared" si="46"/>
        <v>0</v>
      </c>
      <c r="AA66" s="82">
        <f>+'Finished goods'!$O$3*'PRIVATE CUSTOMER (BtoC)'!T66</f>
        <v>0</v>
      </c>
      <c r="AB66" s="82">
        <f>+'Finished goods'!$P$8*R66</f>
        <v>0</v>
      </c>
      <c r="AC66" s="83">
        <f t="shared" si="47"/>
        <v>0</v>
      </c>
      <c r="AD66" s="93" t="e">
        <f t="shared" si="48"/>
        <v>#DIV/0!</v>
      </c>
      <c r="AE66" s="93">
        <f>+'REVENUE DATA'!$D$8</f>
        <v>350</v>
      </c>
      <c r="AF66" s="90" t="e">
        <f t="shared" si="49"/>
        <v>#DIV/0!</v>
      </c>
      <c r="AG66" s="91" t="e">
        <f t="shared" si="50"/>
        <v>#DIV/0!</v>
      </c>
      <c r="AH66" s="92">
        <f t="shared" si="51"/>
        <v>0</v>
      </c>
    </row>
    <row r="67" spans="1:34" x14ac:dyDescent="0.3">
      <c r="A67" s="223"/>
      <c r="B67" s="4"/>
      <c r="C67" s="4" t="str">
        <f t="shared" si="40"/>
        <v>Porta riviste</v>
      </c>
      <c r="D67" s="5">
        <f t="shared" si="40"/>
        <v>10</v>
      </c>
      <c r="E67" s="5">
        <f t="shared" si="40"/>
        <v>10</v>
      </c>
      <c r="F67" s="5">
        <f t="shared" si="40"/>
        <v>0.42</v>
      </c>
      <c r="G67" s="5">
        <f t="shared" si="40"/>
        <v>42</v>
      </c>
      <c r="H67" s="4">
        <f t="shared" si="40"/>
        <v>3.5606798E-3</v>
      </c>
      <c r="I67" s="6">
        <f t="shared" si="40"/>
        <v>9.890777222222221</v>
      </c>
      <c r="J67" s="6">
        <f t="shared" si="40"/>
        <v>8.9016994999999994</v>
      </c>
      <c r="R67" s="23">
        <v>0</v>
      </c>
      <c r="S67" s="6">
        <f t="shared" si="38"/>
        <v>0</v>
      </c>
      <c r="T67" s="6">
        <f t="shared" si="41"/>
        <v>0</v>
      </c>
      <c r="U67" s="4">
        <f t="shared" si="42"/>
        <v>0</v>
      </c>
      <c r="V67" s="115">
        <f>+S67*$M$3/'COST DATA'!$D$26</f>
        <v>0</v>
      </c>
      <c r="W67" s="16">
        <f t="shared" si="43"/>
        <v>0</v>
      </c>
      <c r="X67" s="27">
        <f t="shared" si="44"/>
        <v>0</v>
      </c>
      <c r="Y67" s="27">
        <f t="shared" si="45"/>
        <v>0</v>
      </c>
      <c r="Z67" s="4">
        <f t="shared" si="46"/>
        <v>0</v>
      </c>
      <c r="AA67" s="82">
        <f>+'Finished goods'!$O$3*'PRIVATE CUSTOMER (BtoC)'!T67</f>
        <v>0</v>
      </c>
      <c r="AB67" s="82">
        <f>+'Finished goods'!$P$9*R67</f>
        <v>0</v>
      </c>
      <c r="AC67" s="83">
        <f t="shared" si="47"/>
        <v>0</v>
      </c>
      <c r="AD67" s="93" t="e">
        <f t="shared" si="48"/>
        <v>#DIV/0!</v>
      </c>
      <c r="AE67" s="93">
        <f>+'REVENUE DATA'!$D$9</f>
        <v>180</v>
      </c>
      <c r="AF67" s="90" t="e">
        <f t="shared" si="49"/>
        <v>#DIV/0!</v>
      </c>
      <c r="AG67" s="91" t="e">
        <f t="shared" si="50"/>
        <v>#DIV/0!</v>
      </c>
      <c r="AH67" s="92">
        <f t="shared" si="51"/>
        <v>0</v>
      </c>
    </row>
    <row r="68" spans="1:34" x14ac:dyDescent="0.3">
      <c r="A68" s="223"/>
      <c r="B68" s="4"/>
      <c r="C68" s="4" t="str">
        <f t="shared" si="40"/>
        <v>Lampada 90 grossa</v>
      </c>
      <c r="D68" s="5">
        <f t="shared" si="40"/>
        <v>8</v>
      </c>
      <c r="E68" s="5">
        <f t="shared" si="40"/>
        <v>10</v>
      </c>
      <c r="F68" s="5">
        <f t="shared" si="40"/>
        <v>1.39</v>
      </c>
      <c r="G68" s="5">
        <f t="shared" si="40"/>
        <v>99</v>
      </c>
      <c r="H68" s="4">
        <f t="shared" si="40"/>
        <v>1.7366300000000001E-3</v>
      </c>
      <c r="I68" s="6">
        <f t="shared" si="40"/>
        <v>4.8239722222222232</v>
      </c>
      <c r="J68" s="6">
        <f t="shared" si="40"/>
        <v>4.3415750000000006</v>
      </c>
      <c r="R68" s="23">
        <v>0</v>
      </c>
      <c r="S68" s="6">
        <f t="shared" si="38"/>
        <v>0</v>
      </c>
      <c r="T68" s="6">
        <f t="shared" si="41"/>
        <v>0</v>
      </c>
      <c r="U68" s="4">
        <f t="shared" si="42"/>
        <v>0</v>
      </c>
      <c r="V68" s="115">
        <f>+S68*$M$3/'COST DATA'!$D$26</f>
        <v>0</v>
      </c>
      <c r="W68" s="16">
        <f t="shared" si="43"/>
        <v>0</v>
      </c>
      <c r="X68" s="27">
        <f t="shared" si="44"/>
        <v>0</v>
      </c>
      <c r="Y68" s="27">
        <f t="shared" si="45"/>
        <v>0</v>
      </c>
      <c r="Z68" s="4">
        <f t="shared" si="46"/>
        <v>0</v>
      </c>
      <c r="AA68" s="82">
        <f>+'Finished goods'!$O$3*'PRIVATE CUSTOMER (BtoC)'!T68</f>
        <v>0</v>
      </c>
      <c r="AB68" s="82">
        <f>+'Finished goods'!$P$10*R68</f>
        <v>0</v>
      </c>
      <c r="AC68" s="83">
        <f t="shared" si="47"/>
        <v>0</v>
      </c>
      <c r="AD68" s="93" t="e">
        <f t="shared" si="48"/>
        <v>#DIV/0!</v>
      </c>
      <c r="AE68" s="93">
        <f>+'REVENUE DATA'!$D$10</f>
        <v>450</v>
      </c>
      <c r="AF68" s="90" t="e">
        <f t="shared" si="49"/>
        <v>#DIV/0!</v>
      </c>
      <c r="AG68" s="91" t="e">
        <f t="shared" si="50"/>
        <v>#DIV/0!</v>
      </c>
      <c r="AH68" s="92">
        <f t="shared" si="51"/>
        <v>0</v>
      </c>
    </row>
    <row r="69" spans="1:34" x14ac:dyDescent="0.3">
      <c r="A69" s="223"/>
      <c r="B69" s="4"/>
      <c r="C69" s="4" t="str">
        <f t="shared" si="40"/>
        <v>Lampada 90 piccola</v>
      </c>
      <c r="D69" s="5">
        <f t="shared" si="40"/>
        <v>5</v>
      </c>
      <c r="E69" s="5">
        <f t="shared" si="40"/>
        <v>10</v>
      </c>
      <c r="F69" s="5">
        <f t="shared" si="40"/>
        <v>1.1499999999999999</v>
      </c>
      <c r="G69" s="5">
        <f t="shared" si="40"/>
        <v>75</v>
      </c>
      <c r="H69" s="4">
        <f t="shared" si="40"/>
        <v>8.1557296000000004E-4</v>
      </c>
      <c r="I69" s="6">
        <f t="shared" si="40"/>
        <v>2.2654804444444445</v>
      </c>
      <c r="J69" s="6">
        <f t="shared" si="40"/>
        <v>2.0389324000000002</v>
      </c>
      <c r="R69" s="23">
        <v>0</v>
      </c>
      <c r="S69" s="6">
        <f t="shared" si="38"/>
        <v>0</v>
      </c>
      <c r="T69" s="6">
        <f t="shared" si="41"/>
        <v>0</v>
      </c>
      <c r="U69" s="4">
        <f t="shared" si="42"/>
        <v>0</v>
      </c>
      <c r="V69" s="115">
        <f>+S69*$M$3/'COST DATA'!$D$26</f>
        <v>0</v>
      </c>
      <c r="W69" s="16">
        <f t="shared" si="43"/>
        <v>0</v>
      </c>
      <c r="X69" s="27">
        <f t="shared" si="44"/>
        <v>0</v>
      </c>
      <c r="Y69" s="27">
        <f t="shared" si="45"/>
        <v>0</v>
      </c>
      <c r="Z69" s="4">
        <f t="shared" si="46"/>
        <v>0</v>
      </c>
      <c r="AA69" s="82">
        <f>+'Finished goods'!$O$3*'PRIVATE CUSTOMER (BtoC)'!T69</f>
        <v>0</v>
      </c>
      <c r="AB69" s="82">
        <f>+'Finished goods'!$P$11*R69</f>
        <v>0</v>
      </c>
      <c r="AC69" s="83">
        <f t="shared" si="47"/>
        <v>0</v>
      </c>
      <c r="AD69" s="93" t="e">
        <f t="shared" si="48"/>
        <v>#DIV/0!</v>
      </c>
      <c r="AE69" s="93">
        <f>+'REVENUE DATA'!$D$11</f>
        <v>200</v>
      </c>
      <c r="AF69" s="90" t="e">
        <f t="shared" si="49"/>
        <v>#DIV/0!</v>
      </c>
      <c r="AG69" s="91" t="e">
        <f t="shared" si="50"/>
        <v>#DIV/0!</v>
      </c>
      <c r="AH69" s="92">
        <f t="shared" si="51"/>
        <v>0</v>
      </c>
    </row>
    <row r="70" spans="1:34" x14ac:dyDescent="0.3">
      <c r="A70" s="223"/>
      <c r="B70" s="4"/>
      <c r="C70" s="4" t="str">
        <f t="shared" si="40"/>
        <v>Vaso Logo</v>
      </c>
      <c r="D70" s="5">
        <f t="shared" si="40"/>
        <v>5</v>
      </c>
      <c r="E70" s="5">
        <f t="shared" si="40"/>
        <v>10</v>
      </c>
      <c r="F70" s="5">
        <f t="shared" si="40"/>
        <v>0.39</v>
      </c>
      <c r="G70" s="5">
        <f t="shared" si="40"/>
        <v>39</v>
      </c>
      <c r="H70" s="4">
        <f t="shared" si="40"/>
        <v>1.1639584900000001E-3</v>
      </c>
      <c r="I70" s="6">
        <f t="shared" si="40"/>
        <v>3.2332180277777778</v>
      </c>
      <c r="J70" s="6">
        <f t="shared" si="40"/>
        <v>2.9098962250000002</v>
      </c>
      <c r="R70" s="23">
        <v>0</v>
      </c>
      <c r="S70" s="6">
        <f t="shared" si="38"/>
        <v>0</v>
      </c>
      <c r="T70" s="6">
        <f t="shared" si="41"/>
        <v>0</v>
      </c>
      <c r="U70" s="4">
        <f t="shared" si="42"/>
        <v>0</v>
      </c>
      <c r="V70" s="115">
        <f>+S70*$M$3/'COST DATA'!$D$26</f>
        <v>0</v>
      </c>
      <c r="W70" s="16">
        <f t="shared" si="43"/>
        <v>0</v>
      </c>
      <c r="X70" s="27">
        <f t="shared" si="44"/>
        <v>0</v>
      </c>
      <c r="Y70" s="27">
        <f t="shared" si="45"/>
        <v>0</v>
      </c>
      <c r="Z70" s="4">
        <f t="shared" si="46"/>
        <v>0</v>
      </c>
      <c r="AA70" s="82">
        <f>+'Finished goods'!$O$3*'PRIVATE CUSTOMER (BtoC)'!T70</f>
        <v>0</v>
      </c>
      <c r="AB70" s="82">
        <f>+'Finished goods'!$P$12*R70</f>
        <v>0</v>
      </c>
      <c r="AC70" s="83">
        <f t="shared" si="47"/>
        <v>0</v>
      </c>
      <c r="AD70" s="93" t="e">
        <f t="shared" si="48"/>
        <v>#DIV/0!</v>
      </c>
      <c r="AE70" s="93">
        <f>+'REVENUE DATA'!$D$12</f>
        <v>350</v>
      </c>
      <c r="AF70" s="90" t="e">
        <f t="shared" si="49"/>
        <v>#DIV/0!</v>
      </c>
      <c r="AG70" s="91" t="e">
        <f t="shared" si="50"/>
        <v>#DIV/0!</v>
      </c>
      <c r="AH70" s="92">
        <f t="shared" si="51"/>
        <v>0</v>
      </c>
    </row>
    <row r="71" spans="1:34" x14ac:dyDescent="0.3">
      <c r="A71" s="223"/>
      <c r="B71" s="4"/>
      <c r="C71" s="4" t="str">
        <f t="shared" si="40"/>
        <v>Copri candela</v>
      </c>
      <c r="D71" s="5">
        <f t="shared" si="40"/>
        <v>4</v>
      </c>
      <c r="E71" s="5">
        <f t="shared" si="40"/>
        <v>5</v>
      </c>
      <c r="F71" s="5">
        <f t="shared" si="40"/>
        <v>0.34</v>
      </c>
      <c r="G71" s="5">
        <f t="shared" si="40"/>
        <v>34</v>
      </c>
      <c r="H71" s="4">
        <f t="shared" si="40"/>
        <v>2.3780405299999999E-4</v>
      </c>
      <c r="I71" s="6">
        <f t="shared" si="40"/>
        <v>0.66056681388888883</v>
      </c>
      <c r="J71" s="6">
        <f t="shared" si="40"/>
        <v>0.59451013249999995</v>
      </c>
      <c r="R71" s="23">
        <v>0</v>
      </c>
      <c r="S71" s="6">
        <f t="shared" si="38"/>
        <v>0</v>
      </c>
      <c r="T71" s="6">
        <f t="shared" si="41"/>
        <v>0</v>
      </c>
      <c r="U71" s="4">
        <f t="shared" si="42"/>
        <v>0</v>
      </c>
      <c r="V71" s="115">
        <f>+S71*$M$3/'COST DATA'!$D$26</f>
        <v>0</v>
      </c>
      <c r="W71" s="16">
        <f t="shared" si="43"/>
        <v>0</v>
      </c>
      <c r="X71" s="27">
        <f t="shared" si="44"/>
        <v>0</v>
      </c>
      <c r="Y71" s="27">
        <f t="shared" si="45"/>
        <v>0</v>
      </c>
      <c r="Z71" s="4">
        <f t="shared" si="46"/>
        <v>0</v>
      </c>
      <c r="AA71" s="82">
        <f>+'Finished goods'!$O$3*'PRIVATE CUSTOMER (BtoC)'!T71</f>
        <v>0</v>
      </c>
      <c r="AB71" s="82">
        <f>+'Finished goods'!$P$13*R71</f>
        <v>0</v>
      </c>
      <c r="AC71" s="83">
        <f t="shared" si="47"/>
        <v>0</v>
      </c>
      <c r="AD71" s="93" t="e">
        <f t="shared" si="48"/>
        <v>#DIV/0!</v>
      </c>
      <c r="AE71" s="93">
        <f>+'REVENUE DATA'!$D$13</f>
        <v>75</v>
      </c>
      <c r="AF71" s="90" t="e">
        <f t="shared" si="49"/>
        <v>#DIV/0!</v>
      </c>
      <c r="AG71" s="91" t="e">
        <f t="shared" si="50"/>
        <v>#DIV/0!</v>
      </c>
      <c r="AH71" s="92">
        <f t="shared" si="51"/>
        <v>0</v>
      </c>
    </row>
    <row r="72" spans="1:34" x14ac:dyDescent="0.3">
      <c r="A72" s="223"/>
      <c r="B72" s="4"/>
      <c r="C72" s="4" t="str">
        <f t="shared" si="40"/>
        <v xml:space="preserve">Vaso Grosso </v>
      </c>
      <c r="D72" s="5">
        <f t="shared" si="40"/>
        <v>4</v>
      </c>
      <c r="E72" s="5">
        <f t="shared" si="40"/>
        <v>5</v>
      </c>
      <c r="F72" s="5">
        <f t="shared" si="40"/>
        <v>1.31</v>
      </c>
      <c r="G72" s="5">
        <f t="shared" si="40"/>
        <v>91</v>
      </c>
      <c r="H72" s="4">
        <f t="shared" si="40"/>
        <v>9.52764444E-4</v>
      </c>
      <c r="I72" s="6">
        <f t="shared" si="40"/>
        <v>2.6465679</v>
      </c>
      <c r="J72" s="6">
        <f t="shared" si="40"/>
        <v>2.3819111099999999</v>
      </c>
      <c r="R72" s="23">
        <v>0</v>
      </c>
      <c r="S72" s="6">
        <f t="shared" si="38"/>
        <v>0</v>
      </c>
      <c r="T72" s="6">
        <f t="shared" si="41"/>
        <v>0</v>
      </c>
      <c r="U72" s="4">
        <f t="shared" si="42"/>
        <v>0</v>
      </c>
      <c r="V72" s="115">
        <f>+S72*$M$3/'COST DATA'!$D$26</f>
        <v>0</v>
      </c>
      <c r="W72" s="16">
        <f t="shared" si="43"/>
        <v>0</v>
      </c>
      <c r="X72" s="27">
        <f t="shared" si="44"/>
        <v>0</v>
      </c>
      <c r="Y72" s="27">
        <f t="shared" si="45"/>
        <v>0</v>
      </c>
      <c r="Z72" s="4">
        <f t="shared" si="46"/>
        <v>0</v>
      </c>
      <c r="AA72" s="82">
        <f>+'Finished goods'!$O$3*'PRIVATE CUSTOMER (BtoC)'!T72</f>
        <v>0</v>
      </c>
      <c r="AB72" s="82">
        <f>+'Finished goods'!$P$14*R72</f>
        <v>0</v>
      </c>
      <c r="AC72" s="83">
        <f t="shared" si="47"/>
        <v>0</v>
      </c>
      <c r="AD72" s="93" t="e">
        <f t="shared" si="48"/>
        <v>#DIV/0!</v>
      </c>
      <c r="AE72" s="93">
        <f>+'REVENUE DATA'!$D$14</f>
        <v>250</v>
      </c>
      <c r="AF72" s="90" t="e">
        <f t="shared" si="49"/>
        <v>#DIV/0!</v>
      </c>
      <c r="AG72" s="91" t="e">
        <f t="shared" si="50"/>
        <v>#DIV/0!</v>
      </c>
      <c r="AH72" s="92">
        <f t="shared" si="51"/>
        <v>0</v>
      </c>
    </row>
    <row r="73" spans="1:34" x14ac:dyDescent="0.3">
      <c r="A73" s="223"/>
      <c r="B73" s="4"/>
      <c r="C73" s="4" t="str">
        <f t="shared" si="40"/>
        <v>Bicchiere curve dritto</v>
      </c>
      <c r="D73" s="5">
        <f t="shared" si="40"/>
        <v>2</v>
      </c>
      <c r="E73" s="5">
        <f t="shared" si="40"/>
        <v>2</v>
      </c>
      <c r="F73" s="5">
        <f t="shared" si="40"/>
        <v>0.26</v>
      </c>
      <c r="G73" s="5">
        <f t="shared" si="40"/>
        <v>26</v>
      </c>
      <c r="H73" s="4">
        <f t="shared" si="40"/>
        <v>1.6928511099999999E-4</v>
      </c>
      <c r="I73" s="6">
        <f t="shared" si="40"/>
        <v>0.47023641944444439</v>
      </c>
      <c r="J73" s="6">
        <f t="shared" si="40"/>
        <v>0.42321277749999997</v>
      </c>
      <c r="R73" s="23">
        <v>0</v>
      </c>
      <c r="S73" s="6">
        <f t="shared" si="38"/>
        <v>0</v>
      </c>
      <c r="T73" s="6">
        <f t="shared" si="41"/>
        <v>0</v>
      </c>
      <c r="U73" s="4">
        <f t="shared" si="42"/>
        <v>0</v>
      </c>
      <c r="V73" s="115">
        <f>+S73*$M$3/'COST DATA'!$D$26</f>
        <v>0</v>
      </c>
      <c r="W73" s="16">
        <f t="shared" si="43"/>
        <v>0</v>
      </c>
      <c r="X73" s="27">
        <f t="shared" si="44"/>
        <v>0</v>
      </c>
      <c r="Y73" s="27">
        <f t="shared" si="45"/>
        <v>0</v>
      </c>
      <c r="Z73" s="4">
        <f t="shared" si="46"/>
        <v>0</v>
      </c>
      <c r="AA73" s="82">
        <f>+'Finished goods'!$O$3*'PRIVATE CUSTOMER (BtoC)'!T73</f>
        <v>0</v>
      </c>
      <c r="AB73" s="82">
        <f>+'Finished goods'!$P$15*R73</f>
        <v>0</v>
      </c>
      <c r="AC73" s="83">
        <f t="shared" si="47"/>
        <v>0</v>
      </c>
      <c r="AD73" s="93" t="e">
        <f t="shared" si="48"/>
        <v>#DIV/0!</v>
      </c>
      <c r="AE73" s="93">
        <f>+'REVENUE DATA'!$D$15</f>
        <v>0</v>
      </c>
      <c r="AF73" s="90" t="e">
        <f t="shared" si="49"/>
        <v>#DIV/0!</v>
      </c>
      <c r="AG73" s="91" t="e">
        <f t="shared" si="50"/>
        <v>#DIV/0!</v>
      </c>
      <c r="AH73" s="92">
        <f t="shared" si="51"/>
        <v>0</v>
      </c>
    </row>
    <row r="74" spans="1:34" x14ac:dyDescent="0.3">
      <c r="A74" s="223"/>
      <c r="B74" s="4"/>
      <c r="C74" s="4" t="str">
        <f t="shared" si="40"/>
        <v>Bicchiere curve twist</v>
      </c>
      <c r="D74" s="5">
        <f t="shared" si="40"/>
        <v>2</v>
      </c>
      <c r="E74" s="5">
        <f t="shared" si="40"/>
        <v>2</v>
      </c>
      <c r="F74" s="5">
        <f t="shared" si="40"/>
        <v>0.25</v>
      </c>
      <c r="G74" s="5">
        <f t="shared" si="40"/>
        <v>25</v>
      </c>
      <c r="H74" s="4">
        <f t="shared" si="40"/>
        <v>1.69285896E-4</v>
      </c>
      <c r="I74" s="6">
        <f t="shared" si="40"/>
        <v>0.47023859999999995</v>
      </c>
      <c r="J74" s="6">
        <f t="shared" si="40"/>
        <v>0.42321473999999998</v>
      </c>
      <c r="R74" s="23">
        <v>0</v>
      </c>
      <c r="S74" s="6">
        <f t="shared" si="38"/>
        <v>0</v>
      </c>
      <c r="T74" s="6">
        <f t="shared" si="41"/>
        <v>0</v>
      </c>
      <c r="U74" s="4">
        <f t="shared" si="42"/>
        <v>0</v>
      </c>
      <c r="V74" s="115">
        <f>+S74*$M$3/'COST DATA'!$D$26</f>
        <v>0</v>
      </c>
      <c r="W74" s="16">
        <f t="shared" si="43"/>
        <v>0</v>
      </c>
      <c r="X74" s="27">
        <f t="shared" si="44"/>
        <v>0</v>
      </c>
      <c r="Y74" s="27">
        <f t="shared" si="45"/>
        <v>0</v>
      </c>
      <c r="Z74" s="4">
        <f t="shared" si="46"/>
        <v>0</v>
      </c>
      <c r="AA74" s="82">
        <f>+'Finished goods'!$O$3*'PRIVATE CUSTOMER (BtoC)'!T74</f>
        <v>0</v>
      </c>
      <c r="AB74" s="82">
        <f>+'Finished goods'!$P$16*R74</f>
        <v>0</v>
      </c>
      <c r="AC74" s="83">
        <f t="shared" si="47"/>
        <v>0</v>
      </c>
      <c r="AD74" s="93" t="e">
        <f t="shared" si="48"/>
        <v>#DIV/0!</v>
      </c>
      <c r="AE74" s="93">
        <f>+'REVENUE DATA'!$D$16</f>
        <v>0</v>
      </c>
      <c r="AF74" s="90" t="e">
        <f t="shared" si="49"/>
        <v>#DIV/0!</v>
      </c>
      <c r="AG74" s="91" t="e">
        <f t="shared" si="50"/>
        <v>#DIV/0!</v>
      </c>
      <c r="AH74" s="92">
        <f t="shared" si="51"/>
        <v>0</v>
      </c>
    </row>
    <row r="75" spans="1:34" x14ac:dyDescent="0.3">
      <c r="A75" s="223"/>
      <c r="B75" s="4"/>
      <c r="C75" s="4" t="str">
        <f t="shared" si="40"/>
        <v>Caraffa curva</v>
      </c>
      <c r="D75" s="5">
        <f t="shared" si="40"/>
        <v>2</v>
      </c>
      <c r="E75" s="5">
        <f t="shared" si="40"/>
        <v>2</v>
      </c>
      <c r="F75" s="5">
        <f t="shared" ref="F75:J75" si="52">+F46</f>
        <v>0.56999999999999995</v>
      </c>
      <c r="G75" s="5">
        <f t="shared" si="52"/>
        <v>57</v>
      </c>
      <c r="H75" s="4">
        <f t="shared" si="52"/>
        <v>3.69342133E-4</v>
      </c>
      <c r="I75" s="6">
        <f t="shared" si="52"/>
        <v>1.0259503694444445</v>
      </c>
      <c r="J75" s="6">
        <f t="shared" si="52"/>
        <v>0.92335533250000001</v>
      </c>
      <c r="R75" s="23">
        <v>0</v>
      </c>
      <c r="S75" s="6">
        <f t="shared" si="38"/>
        <v>0</v>
      </c>
      <c r="T75" s="6">
        <f t="shared" si="41"/>
        <v>0</v>
      </c>
      <c r="U75" s="4">
        <f t="shared" si="42"/>
        <v>0</v>
      </c>
      <c r="V75" s="115">
        <f>+S75*$M$3/'COST DATA'!$D$26</f>
        <v>0</v>
      </c>
      <c r="W75" s="16">
        <f>+U75*$N$3</f>
        <v>0</v>
      </c>
      <c r="X75" s="27">
        <f t="shared" si="44"/>
        <v>0</v>
      </c>
      <c r="Y75" s="27">
        <f t="shared" si="45"/>
        <v>0</v>
      </c>
      <c r="Z75" s="4">
        <f t="shared" si="46"/>
        <v>0</v>
      </c>
      <c r="AA75" s="82">
        <f>+'Finished goods'!$O$3*'PRIVATE CUSTOMER (BtoC)'!T75</f>
        <v>0</v>
      </c>
      <c r="AB75" s="82">
        <f>+'Finished goods'!$P$17*R75</f>
        <v>0</v>
      </c>
      <c r="AC75" s="83">
        <f t="shared" si="47"/>
        <v>0</v>
      </c>
      <c r="AD75" s="93" t="e">
        <f t="shared" si="48"/>
        <v>#DIV/0!</v>
      </c>
      <c r="AE75" s="93">
        <f>+'REVENUE DATA'!$D$17</f>
        <v>30</v>
      </c>
      <c r="AF75" s="90" t="e">
        <f t="shared" si="49"/>
        <v>#DIV/0!</v>
      </c>
      <c r="AG75" s="91" t="e">
        <f t="shared" si="50"/>
        <v>#DIV/0!</v>
      </c>
      <c r="AH75" s="92">
        <f t="shared" si="51"/>
        <v>0</v>
      </c>
    </row>
    <row r="76" spans="1:34" x14ac:dyDescent="0.3">
      <c r="A76" s="223"/>
      <c r="B76" s="4"/>
      <c r="C76" s="4" t="str">
        <f t="shared" si="40"/>
        <v>Caraffa colonna dritta</v>
      </c>
      <c r="D76" s="5">
        <f t="shared" ref="D76:J76" si="53">+D47</f>
        <v>2</v>
      </c>
      <c r="E76" s="5">
        <f t="shared" si="53"/>
        <v>1</v>
      </c>
      <c r="F76" s="5">
        <f t="shared" si="53"/>
        <v>1.4</v>
      </c>
      <c r="G76" s="5">
        <f t="shared" si="53"/>
        <v>100</v>
      </c>
      <c r="H76" s="4">
        <f t="shared" si="53"/>
        <v>3.2796365999999998E-4</v>
      </c>
      <c r="I76" s="6">
        <f t="shared" si="53"/>
        <v>0.91101016666666657</v>
      </c>
      <c r="J76" s="6">
        <f t="shared" si="53"/>
        <v>0.81990914999999998</v>
      </c>
      <c r="R76" s="23">
        <v>0</v>
      </c>
      <c r="S76" s="6">
        <f t="shared" si="38"/>
        <v>0</v>
      </c>
      <c r="T76" s="6">
        <f t="shared" si="41"/>
        <v>0</v>
      </c>
      <c r="U76" s="4">
        <f t="shared" si="42"/>
        <v>0</v>
      </c>
      <c r="V76" s="115">
        <f>+S76*$M$3/'COST DATA'!$D$26</f>
        <v>0</v>
      </c>
      <c r="W76" s="16">
        <f t="shared" ref="W76:W85" si="54">+U76*$N$3</f>
        <v>0</v>
      </c>
      <c r="X76" s="27">
        <f t="shared" si="44"/>
        <v>0</v>
      </c>
      <c r="Y76" s="27">
        <f t="shared" si="45"/>
        <v>0</v>
      </c>
      <c r="Z76" s="4">
        <f t="shared" si="46"/>
        <v>0</v>
      </c>
      <c r="AA76" s="82">
        <f>+'Finished goods'!$O$3*'PRIVATE CUSTOMER (BtoC)'!T76</f>
        <v>0</v>
      </c>
      <c r="AB76" s="82">
        <f>+'Finished goods'!$P$18*R76</f>
        <v>0</v>
      </c>
      <c r="AC76" s="83">
        <f t="shared" si="47"/>
        <v>0</v>
      </c>
      <c r="AD76" s="93" t="e">
        <f t="shared" si="48"/>
        <v>#DIV/0!</v>
      </c>
      <c r="AE76" s="93">
        <f>+'REVENUE DATA'!$D$18</f>
        <v>30</v>
      </c>
      <c r="AF76" s="90" t="e">
        <f t="shared" si="49"/>
        <v>#DIV/0!</v>
      </c>
      <c r="AG76" s="91" t="e">
        <f t="shared" si="50"/>
        <v>#DIV/0!</v>
      </c>
      <c r="AH76" s="92">
        <f t="shared" si="51"/>
        <v>0</v>
      </c>
    </row>
    <row r="77" spans="1:34" x14ac:dyDescent="0.3">
      <c r="A77" s="223"/>
      <c r="B77" s="4"/>
      <c r="C77" s="4" t="str">
        <f t="shared" si="40"/>
        <v>Caraffa colonna twist1</v>
      </c>
      <c r="D77" s="5">
        <f t="shared" ref="D77:J77" si="55">+D48</f>
        <v>2</v>
      </c>
      <c r="E77" s="5">
        <f t="shared" si="55"/>
        <v>1</v>
      </c>
      <c r="F77" s="5">
        <f t="shared" si="55"/>
        <v>1.41</v>
      </c>
      <c r="G77" s="5">
        <f t="shared" si="55"/>
        <v>101</v>
      </c>
      <c r="H77" s="4">
        <f t="shared" si="55"/>
        <v>3.323221E-4</v>
      </c>
      <c r="I77" s="6">
        <f t="shared" si="55"/>
        <v>0.92311694444444448</v>
      </c>
      <c r="J77" s="6">
        <f t="shared" si="55"/>
        <v>0.83080525000000005</v>
      </c>
      <c r="R77" s="23">
        <v>0</v>
      </c>
      <c r="S77" s="6">
        <f t="shared" si="38"/>
        <v>0</v>
      </c>
      <c r="T77" s="6">
        <f t="shared" si="41"/>
        <v>0</v>
      </c>
      <c r="U77" s="4">
        <f t="shared" si="42"/>
        <v>0</v>
      </c>
      <c r="V77" s="115">
        <f>+S77*$M$3/'COST DATA'!$D$26</f>
        <v>0</v>
      </c>
      <c r="W77" s="16">
        <f t="shared" si="54"/>
        <v>0</v>
      </c>
      <c r="X77" s="27">
        <f t="shared" si="44"/>
        <v>0</v>
      </c>
      <c r="Y77" s="27">
        <f t="shared" si="45"/>
        <v>0</v>
      </c>
      <c r="Z77" s="4">
        <f t="shared" si="46"/>
        <v>0</v>
      </c>
      <c r="AA77" s="82">
        <f>+'Finished goods'!$O$3*'PRIVATE CUSTOMER (BtoC)'!T77</f>
        <v>0</v>
      </c>
      <c r="AB77" s="82">
        <f>+'Finished goods'!$P$19*R77</f>
        <v>0</v>
      </c>
      <c r="AC77" s="83">
        <f t="shared" si="47"/>
        <v>0</v>
      </c>
      <c r="AD77" s="93" t="e">
        <f t="shared" si="48"/>
        <v>#DIV/0!</v>
      </c>
      <c r="AE77" s="93">
        <f>+'REVENUE DATA'!$D$19</f>
        <v>30</v>
      </c>
      <c r="AF77" s="90" t="e">
        <f t="shared" si="49"/>
        <v>#DIV/0!</v>
      </c>
      <c r="AG77" s="91" t="e">
        <f t="shared" si="50"/>
        <v>#DIV/0!</v>
      </c>
      <c r="AH77" s="92">
        <f t="shared" si="51"/>
        <v>0</v>
      </c>
    </row>
    <row r="78" spans="1:34" x14ac:dyDescent="0.3">
      <c r="A78" s="223"/>
      <c r="B78" s="4"/>
      <c r="C78" s="4" t="str">
        <f t="shared" si="40"/>
        <v>Caraffa colonna twist2</v>
      </c>
      <c r="D78" s="5">
        <f t="shared" ref="D78:J78" si="56">+D49</f>
        <v>2</v>
      </c>
      <c r="E78" s="5">
        <f t="shared" si="56"/>
        <v>1</v>
      </c>
      <c r="F78" s="5">
        <f t="shared" si="56"/>
        <v>1.45</v>
      </c>
      <c r="G78" s="5">
        <f t="shared" si="56"/>
        <v>105</v>
      </c>
      <c r="H78" s="4">
        <f t="shared" si="56"/>
        <v>3.4271101000000001E-4</v>
      </c>
      <c r="I78" s="6">
        <f t="shared" si="56"/>
        <v>0.95197502777777776</v>
      </c>
      <c r="J78" s="6">
        <f t="shared" si="56"/>
        <v>0.85677752500000004</v>
      </c>
      <c r="R78" s="23">
        <v>0</v>
      </c>
      <c r="S78" s="6">
        <f t="shared" si="38"/>
        <v>0</v>
      </c>
      <c r="T78" s="6">
        <f t="shared" si="41"/>
        <v>0</v>
      </c>
      <c r="U78" s="4">
        <f t="shared" si="42"/>
        <v>0</v>
      </c>
      <c r="V78" s="115">
        <f>+S78*$M$3/'COST DATA'!$D$26</f>
        <v>0</v>
      </c>
      <c r="W78" s="16">
        <f t="shared" si="54"/>
        <v>0</v>
      </c>
      <c r="X78" s="27">
        <f t="shared" si="44"/>
        <v>0</v>
      </c>
      <c r="Y78" s="27">
        <f t="shared" si="45"/>
        <v>0</v>
      </c>
      <c r="Z78" s="4">
        <f t="shared" si="46"/>
        <v>0</v>
      </c>
      <c r="AA78" s="82">
        <f>+'Finished goods'!$O$3*'PRIVATE CUSTOMER (BtoC)'!T78</f>
        <v>0</v>
      </c>
      <c r="AB78" s="82">
        <f>+'Finished goods'!$P$20*R78</f>
        <v>0</v>
      </c>
      <c r="AC78" s="83">
        <f t="shared" si="47"/>
        <v>0</v>
      </c>
      <c r="AD78" s="93" t="e">
        <f t="shared" si="48"/>
        <v>#DIV/0!</v>
      </c>
      <c r="AE78" s="93">
        <f>+'REVENUE DATA'!$D$20</f>
        <v>30</v>
      </c>
      <c r="AF78" s="90" t="e">
        <f t="shared" si="49"/>
        <v>#DIV/0!</v>
      </c>
      <c r="AG78" s="91" t="e">
        <f t="shared" si="50"/>
        <v>#DIV/0!</v>
      </c>
      <c r="AH78" s="92">
        <f t="shared" si="51"/>
        <v>0</v>
      </c>
    </row>
    <row r="79" spans="1:34" x14ac:dyDescent="0.3">
      <c r="A79" s="223"/>
      <c r="B79" s="4"/>
      <c r="C79" s="4" t="str">
        <f t="shared" si="40"/>
        <v>Caraffa colonna twist3</v>
      </c>
      <c r="D79" s="5">
        <f t="shared" ref="D79:J79" si="57">+D50</f>
        <v>2</v>
      </c>
      <c r="E79" s="5">
        <f t="shared" si="57"/>
        <v>1</v>
      </c>
      <c r="F79" s="5">
        <f t="shared" si="57"/>
        <v>1.42</v>
      </c>
      <c r="G79" s="5">
        <f t="shared" si="57"/>
        <v>102</v>
      </c>
      <c r="H79" s="4">
        <f t="shared" si="57"/>
        <v>3.3727121999999998E-4</v>
      </c>
      <c r="I79" s="6">
        <f t="shared" si="57"/>
        <v>0.93686449999999988</v>
      </c>
      <c r="J79" s="6">
        <f t="shared" si="57"/>
        <v>0.8431780499999999</v>
      </c>
      <c r="R79" s="23">
        <v>0</v>
      </c>
      <c r="S79" s="6">
        <f t="shared" si="38"/>
        <v>0</v>
      </c>
      <c r="T79" s="6">
        <f t="shared" si="41"/>
        <v>0</v>
      </c>
      <c r="U79" s="4">
        <f t="shared" si="42"/>
        <v>0</v>
      </c>
      <c r="V79" s="115">
        <f>+S79*$M$3/'COST DATA'!$D$26</f>
        <v>0</v>
      </c>
      <c r="W79" s="16">
        <f t="shared" si="54"/>
        <v>0</v>
      </c>
      <c r="X79" s="27">
        <f t="shared" si="44"/>
        <v>0</v>
      </c>
      <c r="Y79" s="27">
        <f t="shared" si="45"/>
        <v>0</v>
      </c>
      <c r="Z79" s="4">
        <f t="shared" si="46"/>
        <v>0</v>
      </c>
      <c r="AA79" s="82">
        <f>+'Finished goods'!$O$3*'PRIVATE CUSTOMER (BtoC)'!T79</f>
        <v>0</v>
      </c>
      <c r="AB79" s="82">
        <f>+'Finished goods'!$P$21*R79</f>
        <v>0</v>
      </c>
      <c r="AC79" s="83">
        <f t="shared" si="47"/>
        <v>0</v>
      </c>
      <c r="AD79" s="93" t="e">
        <f t="shared" si="48"/>
        <v>#DIV/0!</v>
      </c>
      <c r="AE79" s="93">
        <f>+'REVENUE DATA'!$D$21</f>
        <v>30</v>
      </c>
      <c r="AF79" s="90" t="e">
        <f t="shared" si="49"/>
        <v>#DIV/0!</v>
      </c>
      <c r="AG79" s="91" t="e">
        <f t="shared" si="50"/>
        <v>#DIV/0!</v>
      </c>
      <c r="AH79" s="92">
        <f t="shared" si="51"/>
        <v>0</v>
      </c>
    </row>
    <row r="80" spans="1:34" x14ac:dyDescent="0.3">
      <c r="A80" s="223"/>
      <c r="B80" s="4"/>
      <c r="C80" s="4" t="str">
        <f t="shared" si="40"/>
        <v>Bicchiere colonna twist1</v>
      </c>
      <c r="D80" s="5">
        <f t="shared" ref="D80:J80" si="58">+D51</f>
        <v>1</v>
      </c>
      <c r="E80" s="5">
        <f t="shared" si="58"/>
        <v>1</v>
      </c>
      <c r="F80" s="5">
        <f t="shared" si="58"/>
        <v>0.57999999999999996</v>
      </c>
      <c r="G80" s="5">
        <f t="shared" si="58"/>
        <v>58</v>
      </c>
      <c r="H80" s="4">
        <f t="shared" si="58"/>
        <v>9.7981700000000004E-5</v>
      </c>
      <c r="I80" s="6">
        <f t="shared" si="58"/>
        <v>0.27217138888888892</v>
      </c>
      <c r="J80" s="6">
        <f t="shared" si="58"/>
        <v>0.24495425000000001</v>
      </c>
      <c r="R80" s="23">
        <v>0</v>
      </c>
      <c r="S80" s="6">
        <f t="shared" si="38"/>
        <v>0</v>
      </c>
      <c r="T80" s="6">
        <f t="shared" si="41"/>
        <v>0</v>
      </c>
      <c r="U80" s="4">
        <f t="shared" si="42"/>
        <v>0</v>
      </c>
      <c r="V80" s="115">
        <f>+S80*$M$3/'COST DATA'!$D$26</f>
        <v>0</v>
      </c>
      <c r="W80" s="16">
        <f t="shared" si="54"/>
        <v>0</v>
      </c>
      <c r="X80" s="27">
        <f t="shared" si="44"/>
        <v>0</v>
      </c>
      <c r="Y80" s="27">
        <f t="shared" si="45"/>
        <v>0</v>
      </c>
      <c r="Z80" s="4">
        <f t="shared" si="46"/>
        <v>0</v>
      </c>
      <c r="AA80" s="82">
        <f>+'Finished goods'!$O$3*'PRIVATE CUSTOMER (BtoC)'!T80</f>
        <v>0</v>
      </c>
      <c r="AB80" s="82">
        <f>+'Finished goods'!$P$22*R80</f>
        <v>0</v>
      </c>
      <c r="AC80" s="83">
        <f t="shared" si="47"/>
        <v>0</v>
      </c>
      <c r="AD80" s="93" t="e">
        <f t="shared" si="48"/>
        <v>#DIV/0!</v>
      </c>
      <c r="AE80" s="93">
        <f>+'REVENUE DATA'!$D$22</f>
        <v>0</v>
      </c>
      <c r="AF80" s="90" t="e">
        <f t="shared" si="49"/>
        <v>#DIV/0!</v>
      </c>
      <c r="AG80" s="91" t="e">
        <f t="shared" si="50"/>
        <v>#DIV/0!</v>
      </c>
      <c r="AH80" s="92">
        <f t="shared" si="51"/>
        <v>0</v>
      </c>
    </row>
    <row r="81" spans="1:34" x14ac:dyDescent="0.3">
      <c r="A81" s="223"/>
      <c r="B81" s="4"/>
      <c r="C81" s="4" t="str">
        <f t="shared" si="40"/>
        <v>Bicchiere colonna twist2</v>
      </c>
      <c r="D81" s="5">
        <f t="shared" ref="D81:J81" si="59">+D52</f>
        <v>1</v>
      </c>
      <c r="E81" s="5">
        <f t="shared" si="59"/>
        <v>1</v>
      </c>
      <c r="F81" s="5">
        <f t="shared" si="59"/>
        <v>0.59</v>
      </c>
      <c r="G81" s="5">
        <f t="shared" si="59"/>
        <v>59</v>
      </c>
      <c r="H81" s="4">
        <f t="shared" si="59"/>
        <v>9.7982366999999995E-5</v>
      </c>
      <c r="I81" s="6">
        <f t="shared" si="59"/>
        <v>0.27217324166666662</v>
      </c>
      <c r="J81" s="6">
        <f t="shared" si="59"/>
        <v>0.24495591749999998</v>
      </c>
      <c r="R81" s="23">
        <v>0</v>
      </c>
      <c r="S81" s="6">
        <f t="shared" si="38"/>
        <v>0</v>
      </c>
      <c r="T81" s="6">
        <f t="shared" si="41"/>
        <v>0</v>
      </c>
      <c r="U81" s="4">
        <f t="shared" si="42"/>
        <v>0</v>
      </c>
      <c r="V81" s="115">
        <f>+S81*$M$3/'COST DATA'!$D$26</f>
        <v>0</v>
      </c>
      <c r="W81" s="16">
        <f t="shared" si="54"/>
        <v>0</v>
      </c>
      <c r="X81" s="27">
        <f t="shared" si="44"/>
        <v>0</v>
      </c>
      <c r="Y81" s="27">
        <f t="shared" si="45"/>
        <v>0</v>
      </c>
      <c r="Z81" s="4">
        <f t="shared" si="46"/>
        <v>0</v>
      </c>
      <c r="AA81" s="82">
        <f>+'Finished goods'!$O$3*'PRIVATE CUSTOMER (BtoC)'!T81</f>
        <v>0</v>
      </c>
      <c r="AB81" s="82">
        <f>+'Finished goods'!$P$23*R81</f>
        <v>0</v>
      </c>
      <c r="AC81" s="83">
        <f t="shared" si="47"/>
        <v>0</v>
      </c>
      <c r="AD81" s="93" t="e">
        <f t="shared" si="48"/>
        <v>#DIV/0!</v>
      </c>
      <c r="AE81" s="93">
        <f>+'REVENUE DATA'!$D$23</f>
        <v>0</v>
      </c>
      <c r="AF81" s="90" t="e">
        <f t="shared" si="49"/>
        <v>#DIV/0!</v>
      </c>
      <c r="AG81" s="91" t="e">
        <f t="shared" si="50"/>
        <v>#DIV/0!</v>
      </c>
      <c r="AH81" s="92">
        <f t="shared" si="51"/>
        <v>0</v>
      </c>
    </row>
    <row r="82" spans="1:34" x14ac:dyDescent="0.3">
      <c r="A82" s="223"/>
      <c r="B82" s="4"/>
      <c r="C82" s="4" t="str">
        <f t="shared" si="40"/>
        <v>Bicchiere colonna twist3</v>
      </c>
      <c r="D82" s="5">
        <f t="shared" ref="D82:J82" si="60">+D53</f>
        <v>1</v>
      </c>
      <c r="E82" s="5">
        <f t="shared" si="60"/>
        <v>1</v>
      </c>
      <c r="F82" s="5">
        <f t="shared" si="60"/>
        <v>0.59</v>
      </c>
      <c r="G82" s="5">
        <f t="shared" si="60"/>
        <v>59</v>
      </c>
      <c r="H82" s="4">
        <f t="shared" si="60"/>
        <v>9.7984652999999995E-5</v>
      </c>
      <c r="I82" s="6">
        <f t="shared" si="60"/>
        <v>0.27217959166666666</v>
      </c>
      <c r="J82" s="6">
        <f t="shared" si="60"/>
        <v>0.2449616325</v>
      </c>
      <c r="R82" s="23">
        <v>0</v>
      </c>
      <c r="S82" s="6">
        <f t="shared" si="38"/>
        <v>0</v>
      </c>
      <c r="T82" s="6">
        <f t="shared" si="41"/>
        <v>0</v>
      </c>
      <c r="U82" s="4">
        <f t="shared" si="42"/>
        <v>0</v>
      </c>
      <c r="V82" s="115">
        <f>+S82*$M$3/'COST DATA'!$D$26</f>
        <v>0</v>
      </c>
      <c r="W82" s="16">
        <f t="shared" si="54"/>
        <v>0</v>
      </c>
      <c r="X82" s="27">
        <f t="shared" si="44"/>
        <v>0</v>
      </c>
      <c r="Y82" s="27">
        <f t="shared" si="45"/>
        <v>0</v>
      </c>
      <c r="Z82" s="4">
        <f t="shared" si="46"/>
        <v>0</v>
      </c>
      <c r="AA82" s="82">
        <f>+'Finished goods'!$O$3*'PRIVATE CUSTOMER (BtoC)'!T82</f>
        <v>0</v>
      </c>
      <c r="AB82" s="82">
        <f>+'Finished goods'!$P$24*R82</f>
        <v>0</v>
      </c>
      <c r="AC82" s="83">
        <f t="shared" si="47"/>
        <v>0</v>
      </c>
      <c r="AD82" s="93" t="e">
        <f t="shared" si="48"/>
        <v>#DIV/0!</v>
      </c>
      <c r="AE82" s="93">
        <f>+'REVENUE DATA'!$D$24</f>
        <v>0</v>
      </c>
      <c r="AF82" s="90" t="e">
        <f t="shared" si="49"/>
        <v>#DIV/0!</v>
      </c>
      <c r="AG82" s="91" t="e">
        <f t="shared" si="50"/>
        <v>#DIV/0!</v>
      </c>
      <c r="AH82" s="92">
        <f t="shared" si="51"/>
        <v>0</v>
      </c>
    </row>
    <row r="83" spans="1:34" x14ac:dyDescent="0.3">
      <c r="A83" s="223"/>
      <c r="B83" s="4"/>
      <c r="C83" s="4" t="str">
        <f t="shared" si="40"/>
        <v>Bicchiere colonna twist alto</v>
      </c>
      <c r="D83" s="5">
        <f t="shared" ref="D83:J83" si="61">+D54</f>
        <v>1</v>
      </c>
      <c r="E83" s="5">
        <f t="shared" si="61"/>
        <v>1</v>
      </c>
      <c r="F83" s="5">
        <f t="shared" si="61"/>
        <v>0.57999999999999996</v>
      </c>
      <c r="G83" s="5">
        <f t="shared" si="61"/>
        <v>58</v>
      </c>
      <c r="H83" s="4">
        <f t="shared" si="61"/>
        <v>9.4065272999999995E-5</v>
      </c>
      <c r="I83" s="6">
        <f t="shared" si="61"/>
        <v>0.26129242499999999</v>
      </c>
      <c r="J83" s="6">
        <f t="shared" si="61"/>
        <v>0.23516318249999998</v>
      </c>
      <c r="R83" s="23">
        <v>0</v>
      </c>
      <c r="S83" s="6">
        <f t="shared" si="38"/>
        <v>0</v>
      </c>
      <c r="T83" s="6">
        <f t="shared" si="41"/>
        <v>0</v>
      </c>
      <c r="U83" s="4">
        <f t="shared" si="42"/>
        <v>0</v>
      </c>
      <c r="V83" s="115">
        <f>+S83*$M$3/'COST DATA'!$D$26</f>
        <v>0</v>
      </c>
      <c r="W83" s="16">
        <f t="shared" si="54"/>
        <v>0</v>
      </c>
      <c r="X83" s="27">
        <f t="shared" si="44"/>
        <v>0</v>
      </c>
      <c r="Y83" s="27">
        <f t="shared" si="45"/>
        <v>0</v>
      </c>
      <c r="Z83" s="4">
        <f t="shared" si="46"/>
        <v>0</v>
      </c>
      <c r="AA83" s="82">
        <f>+'Finished goods'!$O$3*'PRIVATE CUSTOMER (BtoC)'!T83</f>
        <v>0</v>
      </c>
      <c r="AB83" s="82">
        <f>+'Finished goods'!$P$25*R83</f>
        <v>0</v>
      </c>
      <c r="AC83" s="83">
        <f t="shared" si="47"/>
        <v>0</v>
      </c>
      <c r="AD83" s="93" t="e">
        <f t="shared" si="48"/>
        <v>#DIV/0!</v>
      </c>
      <c r="AE83" s="93">
        <f>+'REVENUE DATA'!$D$25</f>
        <v>0</v>
      </c>
      <c r="AF83" s="90" t="e">
        <f t="shared" si="49"/>
        <v>#DIV/0!</v>
      </c>
      <c r="AG83" s="91" t="e">
        <f t="shared" si="50"/>
        <v>#DIV/0!</v>
      </c>
      <c r="AH83" s="92">
        <f t="shared" si="51"/>
        <v>0</v>
      </c>
    </row>
    <row r="84" spans="1:34" x14ac:dyDescent="0.3">
      <c r="A84" s="223"/>
      <c r="B84" s="4"/>
      <c r="C84" s="4" t="str">
        <f t="shared" si="40"/>
        <v>Oliera1</v>
      </c>
      <c r="D84" s="5">
        <f t="shared" ref="D84:J84" si="62">+D55</f>
        <v>2</v>
      </c>
      <c r="E84" s="5">
        <f t="shared" si="62"/>
        <v>1</v>
      </c>
      <c r="F84" s="5">
        <f t="shared" si="62"/>
        <v>0.54</v>
      </c>
      <c r="G84" s="5">
        <f t="shared" si="62"/>
        <v>54</v>
      </c>
      <c r="H84" s="4">
        <f t="shared" si="62"/>
        <v>1.830542E-4</v>
      </c>
      <c r="I84" s="6">
        <f t="shared" si="62"/>
        <v>0.50848388888888885</v>
      </c>
      <c r="J84" s="6">
        <f t="shared" si="62"/>
        <v>0.45763549999999997</v>
      </c>
      <c r="R84" s="23">
        <v>0</v>
      </c>
      <c r="S84" s="6">
        <f t="shared" si="38"/>
        <v>0</v>
      </c>
      <c r="T84" s="6">
        <f t="shared" si="41"/>
        <v>0</v>
      </c>
      <c r="U84" s="4">
        <f t="shared" si="42"/>
        <v>0</v>
      </c>
      <c r="V84" s="115">
        <f>+S84*$M$3/'COST DATA'!$D$26</f>
        <v>0</v>
      </c>
      <c r="W84" s="16">
        <f t="shared" si="54"/>
        <v>0</v>
      </c>
      <c r="X84" s="27">
        <f t="shared" si="44"/>
        <v>0</v>
      </c>
      <c r="Y84" s="27">
        <f t="shared" si="45"/>
        <v>0</v>
      </c>
      <c r="Z84" s="4">
        <f t="shared" si="46"/>
        <v>0</v>
      </c>
      <c r="AA84" s="82">
        <f>+'Finished goods'!$O$3*'PRIVATE CUSTOMER (BtoC)'!T84</f>
        <v>0</v>
      </c>
      <c r="AB84" s="82">
        <f>+'Finished goods'!$P$26*R84</f>
        <v>0</v>
      </c>
      <c r="AC84" s="83">
        <f t="shared" si="47"/>
        <v>0</v>
      </c>
      <c r="AD84" s="93" t="e">
        <f t="shared" si="48"/>
        <v>#DIV/0!</v>
      </c>
      <c r="AE84" s="93">
        <f>+'REVENUE DATA'!$D$26</f>
        <v>0</v>
      </c>
      <c r="AF84" s="90" t="e">
        <f t="shared" si="49"/>
        <v>#DIV/0!</v>
      </c>
      <c r="AG84" s="91" t="e">
        <f t="shared" si="50"/>
        <v>#DIV/0!</v>
      </c>
      <c r="AH84" s="92">
        <f t="shared" si="51"/>
        <v>0</v>
      </c>
    </row>
    <row r="85" spans="1:34" ht="15" thickBot="1" x14ac:dyDescent="0.35">
      <c r="A85" s="224"/>
      <c r="B85" s="4"/>
      <c r="C85" s="4" t="str">
        <f t="shared" si="40"/>
        <v>Piatto spirale</v>
      </c>
      <c r="D85" s="5">
        <f t="shared" ref="D85:J85" si="63">+D56</f>
        <v>4</v>
      </c>
      <c r="E85" s="5">
        <f t="shared" si="63"/>
        <v>5</v>
      </c>
      <c r="F85" s="5">
        <f t="shared" si="63"/>
        <v>0.25</v>
      </c>
      <c r="G85" s="5">
        <f t="shared" si="63"/>
        <v>25</v>
      </c>
      <c r="H85" s="4">
        <f t="shared" si="63"/>
        <v>1.575448E-4</v>
      </c>
      <c r="I85" s="6">
        <f t="shared" si="63"/>
        <v>0.43762444444444443</v>
      </c>
      <c r="J85" s="6">
        <f t="shared" si="63"/>
        <v>0.39386199999999999</v>
      </c>
      <c r="R85" s="23">
        <v>0</v>
      </c>
      <c r="S85" s="6">
        <f t="shared" si="38"/>
        <v>0</v>
      </c>
      <c r="T85" s="6">
        <f t="shared" si="41"/>
        <v>0</v>
      </c>
      <c r="U85" s="4">
        <f t="shared" si="42"/>
        <v>0</v>
      </c>
      <c r="V85" s="116">
        <f>+S85*$M$3/'COST DATA'!$D$26</f>
        <v>0</v>
      </c>
      <c r="W85" s="117">
        <f t="shared" si="54"/>
        <v>0</v>
      </c>
      <c r="X85" s="118">
        <f t="shared" si="44"/>
        <v>0</v>
      </c>
      <c r="Y85" s="118">
        <f t="shared" si="45"/>
        <v>0</v>
      </c>
      <c r="Z85" s="119">
        <f t="shared" si="46"/>
        <v>0</v>
      </c>
      <c r="AA85" s="85">
        <f>+'Finished goods'!$O$3*'PRIVATE CUSTOMER (BtoC)'!T85</f>
        <v>0</v>
      </c>
      <c r="AB85" s="85">
        <f>+'Finished goods'!$P$27*R85</f>
        <v>0</v>
      </c>
      <c r="AC85" s="86">
        <f t="shared" si="47"/>
        <v>0</v>
      </c>
      <c r="AD85" s="93" t="e">
        <f t="shared" si="48"/>
        <v>#DIV/0!</v>
      </c>
      <c r="AE85" s="93">
        <f>+'REVENUE DATA'!$D$27</f>
        <v>0</v>
      </c>
      <c r="AF85" s="90" t="e">
        <f t="shared" si="49"/>
        <v>#DIV/0!</v>
      </c>
      <c r="AG85" s="91" t="e">
        <f t="shared" si="50"/>
        <v>#DIV/0!</v>
      </c>
      <c r="AH85" s="92">
        <f t="shared" si="51"/>
        <v>0</v>
      </c>
    </row>
    <row r="88" spans="1:34" ht="18.600000000000001" thickBot="1" x14ac:dyDescent="0.4">
      <c r="D88" s="237" t="s">
        <v>40</v>
      </c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10" t="s">
        <v>32</v>
      </c>
      <c r="S88" s="87">
        <f>+S90/60/7</f>
        <v>0</v>
      </c>
      <c r="T88" s="88" t="s">
        <v>83</v>
      </c>
    </row>
    <row r="89" spans="1:34" x14ac:dyDescent="0.3">
      <c r="D89" s="236" t="s">
        <v>33</v>
      </c>
      <c r="E89" s="236"/>
      <c r="F89" s="236"/>
      <c r="G89" s="236"/>
      <c r="H89" s="236"/>
      <c r="I89" s="236"/>
      <c r="J89" s="236"/>
      <c r="M89" s="236" t="s">
        <v>36</v>
      </c>
      <c r="N89" s="236"/>
      <c r="O89" s="236"/>
      <c r="P89" s="236"/>
      <c r="Q89" s="236"/>
      <c r="V89" s="238" t="s">
        <v>135</v>
      </c>
      <c r="W89" s="239"/>
      <c r="X89" s="239"/>
      <c r="Y89" s="239"/>
      <c r="Z89" s="239"/>
      <c r="AA89" s="239"/>
      <c r="AB89" s="239"/>
      <c r="AC89" s="240"/>
    </row>
    <row r="90" spans="1:34" ht="18" x14ac:dyDescent="0.35">
      <c r="F90" s="225" t="s">
        <v>44</v>
      </c>
      <c r="G90" s="225"/>
      <c r="I90" s="20">
        <f>SUBTOTAL(9,I92:I114)</f>
        <v>59.570075669444442</v>
      </c>
      <c r="J90" s="20">
        <f>SUBTOTAL(9,J92:J114)</f>
        <v>53.613068102499987</v>
      </c>
      <c r="K90" s="1">
        <f>+'Finished goods'!$I$3</f>
        <v>2500</v>
      </c>
      <c r="L90" s="1">
        <f>+'Finished goods'!$J$3</f>
        <v>0.9</v>
      </c>
      <c r="M90" s="15">
        <f>+'Finished goods'!$K$3</f>
        <v>0.50772709939119998</v>
      </c>
      <c r="N90" s="15">
        <f>+'Finished goods'!$L$3</f>
        <v>6.7889999999999999E-3</v>
      </c>
      <c r="O90" s="13">
        <f>+'Finished goods'!$M$3</f>
        <v>0.15750000000000003</v>
      </c>
      <c r="P90" s="46">
        <f>+'Finished goods'!$N$3</f>
        <v>5.8880308880308881E-2</v>
      </c>
      <c r="Q90" s="1"/>
      <c r="S90" s="17">
        <f>SUBTOTAL(9,S92:S114)</f>
        <v>0</v>
      </c>
      <c r="T90" s="17">
        <f>SUBTOTAL(9,T92:T114)</f>
        <v>0</v>
      </c>
      <c r="U90" s="75">
        <f>SUBTOTAL(9,U92:U114)</f>
        <v>0</v>
      </c>
      <c r="V90" s="77">
        <f t="shared" ref="V90:AC90" si="64">SUBTOTAL(9,V92:V114)</f>
        <v>0</v>
      </c>
      <c r="W90" s="17">
        <f t="shared" si="64"/>
        <v>0</v>
      </c>
      <c r="X90" s="17">
        <f t="shared" si="64"/>
        <v>0</v>
      </c>
      <c r="Y90" s="17">
        <f t="shared" si="64"/>
        <v>0</v>
      </c>
      <c r="Z90" s="17">
        <f t="shared" si="64"/>
        <v>0</v>
      </c>
      <c r="AA90" s="17">
        <f t="shared" si="64"/>
        <v>0</v>
      </c>
      <c r="AB90" s="17">
        <f t="shared" si="64"/>
        <v>0</v>
      </c>
      <c r="AC90" s="78">
        <f t="shared" si="64"/>
        <v>0</v>
      </c>
      <c r="AF90" s="225" t="s">
        <v>118</v>
      </c>
      <c r="AG90" s="225"/>
      <c r="AH90" s="108">
        <f t="shared" ref="AH90" si="65">SUBTOTAL(9,AH92:AH114)</f>
        <v>0</v>
      </c>
    </row>
    <row r="91" spans="1:34" x14ac:dyDescent="0.3">
      <c r="A91" s="1" t="s">
        <v>145</v>
      </c>
      <c r="B91" s="1" t="s">
        <v>30</v>
      </c>
      <c r="C91" s="1" t="s">
        <v>0</v>
      </c>
      <c r="D91" s="1" t="s">
        <v>4</v>
      </c>
      <c r="E91" s="1" t="s">
        <v>5</v>
      </c>
      <c r="F91" s="1" t="s">
        <v>45</v>
      </c>
      <c r="G91" s="1" t="s">
        <v>57</v>
      </c>
      <c r="H91" s="1" t="s">
        <v>6</v>
      </c>
      <c r="I91" s="1" t="s">
        <v>2</v>
      </c>
      <c r="J91" s="1" t="s">
        <v>7</v>
      </c>
      <c r="K91" s="1" t="s">
        <v>31</v>
      </c>
      <c r="L91" s="1" t="s">
        <v>8</v>
      </c>
      <c r="M91" s="1" t="s">
        <v>34</v>
      </c>
      <c r="N91" s="1" t="s">
        <v>35</v>
      </c>
      <c r="O91" s="1" t="s">
        <v>37</v>
      </c>
      <c r="P91" s="1" t="s">
        <v>93</v>
      </c>
      <c r="Q91" s="1" t="s">
        <v>94</v>
      </c>
      <c r="R91" s="11" t="s">
        <v>39</v>
      </c>
      <c r="S91" s="2" t="s">
        <v>43</v>
      </c>
      <c r="T91" s="2" t="s">
        <v>2</v>
      </c>
      <c r="U91" s="76" t="s">
        <v>7</v>
      </c>
      <c r="V91" s="79" t="str">
        <f>+V4</f>
        <v>energia €/h</v>
      </c>
      <c r="W91" s="79" t="str">
        <f t="shared" ref="W91:AB91" si="66">+W4</f>
        <v>materiale €/Kg</v>
      </c>
      <c r="X91" s="79" t="str">
        <f t="shared" si="66"/>
        <v>mod</v>
      </c>
      <c r="Y91" s="79" t="str">
        <f t="shared" si="66"/>
        <v>ammort</v>
      </c>
      <c r="Z91" s="79" t="str">
        <f t="shared" si="66"/>
        <v>Accensione</v>
      </c>
      <c r="AA91" s="79" t="str">
        <f t="shared" si="66"/>
        <v>trasporto</v>
      </c>
      <c r="AB91" s="79" t="str">
        <f t="shared" si="66"/>
        <v>forniture</v>
      </c>
      <c r="AC91" s="80" t="s">
        <v>42</v>
      </c>
      <c r="AD91" s="53" t="s">
        <v>116</v>
      </c>
      <c r="AE91" s="1" t="s">
        <v>117</v>
      </c>
      <c r="AF91" s="1" t="s">
        <v>119</v>
      </c>
      <c r="AG91" s="1" t="s">
        <v>120</v>
      </c>
      <c r="AH91" s="1" t="s">
        <v>121</v>
      </c>
    </row>
    <row r="92" spans="1:34" x14ac:dyDescent="0.3">
      <c r="A92" s="222" t="s">
        <v>414</v>
      </c>
      <c r="B92" s="4"/>
      <c r="C92" s="4" t="str">
        <f>+C63</f>
        <v>Tavolo twist Logo</v>
      </c>
      <c r="D92" s="5">
        <f>+D63</f>
        <v>8</v>
      </c>
      <c r="E92" s="5">
        <f t="shared" ref="E92:J92" si="67">+E63</f>
        <v>10</v>
      </c>
      <c r="F92" s="5">
        <f t="shared" si="67"/>
        <v>1.22</v>
      </c>
      <c r="G92" s="5">
        <f t="shared" si="67"/>
        <v>82</v>
      </c>
      <c r="H92" s="4">
        <f t="shared" si="67"/>
        <v>7.9769999999999997E-3</v>
      </c>
      <c r="I92" s="6">
        <f t="shared" si="67"/>
        <v>22.158333333333331</v>
      </c>
      <c r="J92" s="6">
        <f t="shared" si="67"/>
        <v>19.942499999999999</v>
      </c>
      <c r="R92" s="23">
        <v>0</v>
      </c>
      <c r="S92" s="6">
        <f t="shared" ref="S92:S114" si="68">+G92*$R92</f>
        <v>0</v>
      </c>
      <c r="T92" s="6">
        <f t="shared" ref="T92" si="69">+I92*$R92</f>
        <v>0</v>
      </c>
      <c r="U92" s="4">
        <f>+J92*$R92</f>
        <v>0</v>
      </c>
      <c r="V92" s="115">
        <f>+S92*$M$3/'COST DATA'!$D$26</f>
        <v>0</v>
      </c>
      <c r="W92" s="16">
        <f>+U92*$N$3</f>
        <v>0</v>
      </c>
      <c r="X92" s="27">
        <f>+S92*$O$3</f>
        <v>0</v>
      </c>
      <c r="Y92" s="27">
        <f>+S92*$P$3</f>
        <v>0</v>
      </c>
      <c r="Z92" s="4">
        <f>+(S92/$S$3)*($S$1)</f>
        <v>0</v>
      </c>
      <c r="AA92" s="82">
        <f>+'Finished goods'!$O$3*'PRIVATE CUSTOMER (BtoC)'!T92</f>
        <v>0</v>
      </c>
      <c r="AB92" s="82">
        <f>+'Finished goods'!$P$5*R92</f>
        <v>0</v>
      </c>
      <c r="AC92" s="83">
        <f>SUM(V92:AB92)</f>
        <v>0</v>
      </c>
      <c r="AD92" s="93" t="e">
        <f>+AC92/R92</f>
        <v>#DIV/0!</v>
      </c>
      <c r="AE92" s="93">
        <f>+'REVENUE DATA'!$D$5</f>
        <v>1200</v>
      </c>
      <c r="AF92" s="90" t="e">
        <f>+AE92-AD92</f>
        <v>#DIV/0!</v>
      </c>
      <c r="AG92" s="91" t="e">
        <f>+AF92/AD92</f>
        <v>#DIV/0!</v>
      </c>
      <c r="AH92" s="92">
        <f>+AE92*R92</f>
        <v>0</v>
      </c>
    </row>
    <row r="93" spans="1:34" x14ac:dyDescent="0.3">
      <c r="A93" s="223"/>
      <c r="B93" s="4"/>
      <c r="C93" s="4" t="str">
        <f t="shared" ref="C93:J114" si="70">+C64</f>
        <v xml:space="preserve">Vaso bitorzolo curvo </v>
      </c>
      <c r="D93" s="5">
        <f t="shared" si="70"/>
        <v>4</v>
      </c>
      <c r="E93" s="5">
        <f t="shared" si="70"/>
        <v>2</v>
      </c>
      <c r="F93" s="5">
        <f t="shared" si="70"/>
        <v>5.21</v>
      </c>
      <c r="G93" s="5">
        <f t="shared" si="70"/>
        <v>321</v>
      </c>
      <c r="H93" s="4">
        <f t="shared" si="70"/>
        <v>6.0029599999999995E-4</v>
      </c>
      <c r="I93" s="6">
        <f t="shared" si="70"/>
        <v>1.6674888888888888</v>
      </c>
      <c r="J93" s="6">
        <f t="shared" si="70"/>
        <v>1.50074</v>
      </c>
      <c r="R93" s="23">
        <v>0</v>
      </c>
      <c r="S93" s="6">
        <f t="shared" si="68"/>
        <v>0</v>
      </c>
      <c r="T93" s="6">
        <f t="shared" ref="T93:T114" si="71">+H93*$R93</f>
        <v>0</v>
      </c>
      <c r="U93" s="4">
        <f t="shared" ref="U93:U114" si="72">+J93*$R93</f>
        <v>0</v>
      </c>
      <c r="V93" s="115">
        <f>+S93*$M$3/'COST DATA'!$D$26</f>
        <v>0</v>
      </c>
      <c r="W93" s="16">
        <f t="shared" ref="W93:W103" si="73">+U93*$N$3</f>
        <v>0</v>
      </c>
      <c r="X93" s="27">
        <f t="shared" ref="X93:X114" si="74">+S93*$O$3</f>
        <v>0</v>
      </c>
      <c r="Y93" s="27">
        <f t="shared" ref="Y93:Y114" si="75">+S93*$P$3</f>
        <v>0</v>
      </c>
      <c r="Z93" s="4">
        <f t="shared" ref="Z93:Z114" si="76">+(S93/$S$3)*($S$1)</f>
        <v>0</v>
      </c>
      <c r="AA93" s="82">
        <f>+'Finished goods'!$O$3*'PRIVATE CUSTOMER (BtoC)'!T93</f>
        <v>0</v>
      </c>
      <c r="AB93" s="82">
        <f>+'Finished goods'!$P$6*R93</f>
        <v>0</v>
      </c>
      <c r="AC93" s="83">
        <f t="shared" ref="AC93:AC114" si="77">SUM(V93:AB93)</f>
        <v>0</v>
      </c>
      <c r="AD93" s="93" t="e">
        <f t="shared" ref="AD93:AD114" si="78">+AC93/R93</f>
        <v>#DIV/0!</v>
      </c>
      <c r="AE93" s="93">
        <f>+'REVENUE DATA'!$D$6</f>
        <v>350</v>
      </c>
      <c r="AF93" s="90" t="e">
        <f t="shared" ref="AF93:AF114" si="79">+AE93-AD93</f>
        <v>#DIV/0!</v>
      </c>
      <c r="AG93" s="91" t="e">
        <f t="shared" ref="AG93:AG114" si="80">+AF93/AD93</f>
        <v>#DIV/0!</v>
      </c>
      <c r="AH93" s="92">
        <f t="shared" ref="AH93:AH114" si="81">+AE93*R93</f>
        <v>0</v>
      </c>
    </row>
    <row r="94" spans="1:34" x14ac:dyDescent="0.3">
      <c r="A94" s="223"/>
      <c r="B94" s="4"/>
      <c r="C94" s="4" t="str">
        <f t="shared" si="70"/>
        <v>Vaso bitorzolo twist</v>
      </c>
      <c r="D94" s="5">
        <f t="shared" si="70"/>
        <v>4</v>
      </c>
      <c r="E94" s="5">
        <f t="shared" si="70"/>
        <v>2</v>
      </c>
      <c r="F94" s="5">
        <f t="shared" si="70"/>
        <v>5.15</v>
      </c>
      <c r="G94" s="5">
        <f t="shared" si="70"/>
        <v>315</v>
      </c>
      <c r="H94" s="4">
        <f t="shared" si="70"/>
        <v>8.005105E-4</v>
      </c>
      <c r="I94" s="6">
        <f t="shared" si="70"/>
        <v>2.2236402777777777</v>
      </c>
      <c r="J94" s="6">
        <f t="shared" si="70"/>
        <v>2.0012762500000001</v>
      </c>
      <c r="R94" s="23">
        <v>0</v>
      </c>
      <c r="S94" s="6">
        <f t="shared" si="68"/>
        <v>0</v>
      </c>
      <c r="T94" s="6">
        <f t="shared" si="71"/>
        <v>0</v>
      </c>
      <c r="U94" s="4">
        <f t="shared" si="72"/>
        <v>0</v>
      </c>
      <c r="V94" s="115">
        <f>+S94*$M$3/'COST DATA'!$D$26</f>
        <v>0</v>
      </c>
      <c r="W94" s="16">
        <f t="shared" si="73"/>
        <v>0</v>
      </c>
      <c r="X94" s="27">
        <f t="shared" si="74"/>
        <v>0</v>
      </c>
      <c r="Y94" s="27">
        <f t="shared" si="75"/>
        <v>0</v>
      </c>
      <c r="Z94" s="4">
        <f t="shared" si="76"/>
        <v>0</v>
      </c>
      <c r="AA94" s="82">
        <f>+'Finished goods'!$O$3*'PRIVATE CUSTOMER (BtoC)'!T94</f>
        <v>0</v>
      </c>
      <c r="AB94" s="82">
        <f>+'Finished goods'!$P$7*R94</f>
        <v>0</v>
      </c>
      <c r="AC94" s="83">
        <f t="shared" si="77"/>
        <v>0</v>
      </c>
      <c r="AD94" s="93" t="e">
        <f t="shared" si="78"/>
        <v>#DIV/0!</v>
      </c>
      <c r="AE94" s="93">
        <f>+'REVENUE DATA'!$D$7</f>
        <v>350</v>
      </c>
      <c r="AF94" s="90" t="e">
        <f t="shared" si="79"/>
        <v>#DIV/0!</v>
      </c>
      <c r="AG94" s="91" t="e">
        <f t="shared" si="80"/>
        <v>#DIV/0!</v>
      </c>
      <c r="AH94" s="92">
        <f t="shared" si="81"/>
        <v>0</v>
      </c>
    </row>
    <row r="95" spans="1:34" x14ac:dyDescent="0.3">
      <c r="A95" s="223"/>
      <c r="B95" s="4"/>
      <c r="C95" s="4" t="str">
        <f t="shared" si="70"/>
        <v>Vaso bitorzolo dritto</v>
      </c>
      <c r="D95" s="5">
        <f t="shared" si="70"/>
        <v>4</v>
      </c>
      <c r="E95" s="5">
        <f t="shared" si="70"/>
        <v>2</v>
      </c>
      <c r="F95" s="5">
        <f t="shared" si="70"/>
        <v>4.4800000000000004</v>
      </c>
      <c r="G95" s="5">
        <f t="shared" si="70"/>
        <v>288</v>
      </c>
      <c r="H95" s="4">
        <f t="shared" si="70"/>
        <v>8.2321687099999998E-4</v>
      </c>
      <c r="I95" s="6">
        <f t="shared" si="70"/>
        <v>2.2867135305555553</v>
      </c>
      <c r="J95" s="6">
        <f t="shared" si="70"/>
        <v>2.0580421775</v>
      </c>
      <c r="R95" s="23">
        <v>0</v>
      </c>
      <c r="S95" s="6">
        <f t="shared" si="68"/>
        <v>0</v>
      </c>
      <c r="T95" s="6">
        <f t="shared" si="71"/>
        <v>0</v>
      </c>
      <c r="U95" s="4">
        <f t="shared" si="72"/>
        <v>0</v>
      </c>
      <c r="V95" s="115">
        <f>+S95*$M$3/'COST DATA'!$D$26</f>
        <v>0</v>
      </c>
      <c r="W95" s="16">
        <f t="shared" si="73"/>
        <v>0</v>
      </c>
      <c r="X95" s="27">
        <f t="shared" si="74"/>
        <v>0</v>
      </c>
      <c r="Y95" s="27">
        <f t="shared" si="75"/>
        <v>0</v>
      </c>
      <c r="Z95" s="4">
        <f t="shared" si="76"/>
        <v>0</v>
      </c>
      <c r="AA95" s="82">
        <f>+'Finished goods'!$O$3*'PRIVATE CUSTOMER (BtoC)'!T95</f>
        <v>0</v>
      </c>
      <c r="AB95" s="82">
        <f>+'Finished goods'!$P$8*R95</f>
        <v>0</v>
      </c>
      <c r="AC95" s="83">
        <f t="shared" si="77"/>
        <v>0</v>
      </c>
      <c r="AD95" s="93" t="e">
        <f t="shared" si="78"/>
        <v>#DIV/0!</v>
      </c>
      <c r="AE95" s="93">
        <f>+'REVENUE DATA'!$D$8</f>
        <v>350</v>
      </c>
      <c r="AF95" s="90" t="e">
        <f t="shared" si="79"/>
        <v>#DIV/0!</v>
      </c>
      <c r="AG95" s="91" t="e">
        <f t="shared" si="80"/>
        <v>#DIV/0!</v>
      </c>
      <c r="AH95" s="92">
        <f t="shared" si="81"/>
        <v>0</v>
      </c>
    </row>
    <row r="96" spans="1:34" x14ac:dyDescent="0.3">
      <c r="A96" s="223"/>
      <c r="B96" s="4"/>
      <c r="C96" s="4" t="str">
        <f t="shared" si="70"/>
        <v>Porta riviste</v>
      </c>
      <c r="D96" s="5">
        <f t="shared" si="70"/>
        <v>10</v>
      </c>
      <c r="E96" s="5">
        <f t="shared" si="70"/>
        <v>10</v>
      </c>
      <c r="F96" s="5">
        <f t="shared" si="70"/>
        <v>0.42</v>
      </c>
      <c r="G96" s="5">
        <f t="shared" si="70"/>
        <v>42</v>
      </c>
      <c r="H96" s="4">
        <f t="shared" si="70"/>
        <v>3.5606798E-3</v>
      </c>
      <c r="I96" s="6">
        <f t="shared" si="70"/>
        <v>9.890777222222221</v>
      </c>
      <c r="J96" s="6">
        <f t="shared" si="70"/>
        <v>8.9016994999999994</v>
      </c>
      <c r="R96" s="23">
        <v>0</v>
      </c>
      <c r="S96" s="6">
        <f t="shared" si="68"/>
        <v>0</v>
      </c>
      <c r="T96" s="6">
        <f t="shared" si="71"/>
        <v>0</v>
      </c>
      <c r="U96" s="4">
        <f t="shared" si="72"/>
        <v>0</v>
      </c>
      <c r="V96" s="115">
        <f>+S96*$M$3/'COST DATA'!$D$26</f>
        <v>0</v>
      </c>
      <c r="W96" s="16">
        <f t="shared" si="73"/>
        <v>0</v>
      </c>
      <c r="X96" s="27">
        <f t="shared" si="74"/>
        <v>0</v>
      </c>
      <c r="Y96" s="27">
        <f t="shared" si="75"/>
        <v>0</v>
      </c>
      <c r="Z96" s="4">
        <f t="shared" si="76"/>
        <v>0</v>
      </c>
      <c r="AA96" s="82">
        <f>+'Finished goods'!$O$3*'PRIVATE CUSTOMER (BtoC)'!T96</f>
        <v>0</v>
      </c>
      <c r="AB96" s="82">
        <f>+'Finished goods'!$P$9*R96</f>
        <v>0</v>
      </c>
      <c r="AC96" s="83">
        <f t="shared" si="77"/>
        <v>0</v>
      </c>
      <c r="AD96" s="93" t="e">
        <f t="shared" si="78"/>
        <v>#DIV/0!</v>
      </c>
      <c r="AE96" s="93">
        <f>+'REVENUE DATA'!$D$9</f>
        <v>180</v>
      </c>
      <c r="AF96" s="90" t="e">
        <f t="shared" si="79"/>
        <v>#DIV/0!</v>
      </c>
      <c r="AG96" s="91" t="e">
        <f t="shared" si="80"/>
        <v>#DIV/0!</v>
      </c>
      <c r="AH96" s="92">
        <f t="shared" si="81"/>
        <v>0</v>
      </c>
    </row>
    <row r="97" spans="1:34" x14ac:dyDescent="0.3">
      <c r="A97" s="223"/>
      <c r="B97" s="4"/>
      <c r="C97" s="4" t="str">
        <f t="shared" si="70"/>
        <v>Lampada 90 grossa</v>
      </c>
      <c r="D97" s="5">
        <f t="shared" si="70"/>
        <v>8</v>
      </c>
      <c r="E97" s="5">
        <f t="shared" si="70"/>
        <v>10</v>
      </c>
      <c r="F97" s="5">
        <f t="shared" si="70"/>
        <v>1.39</v>
      </c>
      <c r="G97" s="5">
        <f t="shared" si="70"/>
        <v>99</v>
      </c>
      <c r="H97" s="4">
        <f t="shared" si="70"/>
        <v>1.7366300000000001E-3</v>
      </c>
      <c r="I97" s="6">
        <f t="shared" si="70"/>
        <v>4.8239722222222232</v>
      </c>
      <c r="J97" s="6">
        <f t="shared" si="70"/>
        <v>4.3415750000000006</v>
      </c>
      <c r="R97" s="23">
        <v>0</v>
      </c>
      <c r="S97" s="6">
        <f t="shared" si="68"/>
        <v>0</v>
      </c>
      <c r="T97" s="6">
        <f t="shared" si="71"/>
        <v>0</v>
      </c>
      <c r="U97" s="4">
        <f t="shared" si="72"/>
        <v>0</v>
      </c>
      <c r="V97" s="115">
        <f>+S97*$M$3/'COST DATA'!$D$26</f>
        <v>0</v>
      </c>
      <c r="W97" s="16">
        <f t="shared" si="73"/>
        <v>0</v>
      </c>
      <c r="X97" s="27">
        <f t="shared" si="74"/>
        <v>0</v>
      </c>
      <c r="Y97" s="27">
        <f t="shared" si="75"/>
        <v>0</v>
      </c>
      <c r="Z97" s="4">
        <f t="shared" si="76"/>
        <v>0</v>
      </c>
      <c r="AA97" s="82">
        <f>+'Finished goods'!$O$3*'PRIVATE CUSTOMER (BtoC)'!T97</f>
        <v>0</v>
      </c>
      <c r="AB97" s="82">
        <f>+'Finished goods'!$P$10*R97</f>
        <v>0</v>
      </c>
      <c r="AC97" s="83">
        <f t="shared" si="77"/>
        <v>0</v>
      </c>
      <c r="AD97" s="93" t="e">
        <f t="shared" si="78"/>
        <v>#DIV/0!</v>
      </c>
      <c r="AE97" s="93">
        <f>+'REVENUE DATA'!$D$10</f>
        <v>450</v>
      </c>
      <c r="AF97" s="90" t="e">
        <f t="shared" si="79"/>
        <v>#DIV/0!</v>
      </c>
      <c r="AG97" s="91" t="e">
        <f t="shared" si="80"/>
        <v>#DIV/0!</v>
      </c>
      <c r="AH97" s="92">
        <f t="shared" si="81"/>
        <v>0</v>
      </c>
    </row>
    <row r="98" spans="1:34" x14ac:dyDescent="0.3">
      <c r="A98" s="223"/>
      <c r="B98" s="4"/>
      <c r="C98" s="4" t="str">
        <f t="shared" si="70"/>
        <v>Lampada 90 piccola</v>
      </c>
      <c r="D98" s="5">
        <f t="shared" si="70"/>
        <v>5</v>
      </c>
      <c r="E98" s="5">
        <f t="shared" si="70"/>
        <v>10</v>
      </c>
      <c r="F98" s="5">
        <f t="shared" si="70"/>
        <v>1.1499999999999999</v>
      </c>
      <c r="G98" s="5">
        <f t="shared" si="70"/>
        <v>75</v>
      </c>
      <c r="H98" s="4">
        <f t="shared" si="70"/>
        <v>8.1557296000000004E-4</v>
      </c>
      <c r="I98" s="6">
        <f t="shared" si="70"/>
        <v>2.2654804444444445</v>
      </c>
      <c r="J98" s="6">
        <f t="shared" si="70"/>
        <v>2.0389324000000002</v>
      </c>
      <c r="R98" s="23">
        <v>0</v>
      </c>
      <c r="S98" s="6">
        <f t="shared" si="68"/>
        <v>0</v>
      </c>
      <c r="T98" s="6">
        <f t="shared" si="71"/>
        <v>0</v>
      </c>
      <c r="U98" s="4">
        <f t="shared" si="72"/>
        <v>0</v>
      </c>
      <c r="V98" s="115">
        <f>+S98*$M$3/'COST DATA'!$D$26</f>
        <v>0</v>
      </c>
      <c r="W98" s="16">
        <f t="shared" si="73"/>
        <v>0</v>
      </c>
      <c r="X98" s="27">
        <f t="shared" si="74"/>
        <v>0</v>
      </c>
      <c r="Y98" s="27">
        <f t="shared" si="75"/>
        <v>0</v>
      </c>
      <c r="Z98" s="4">
        <f t="shared" si="76"/>
        <v>0</v>
      </c>
      <c r="AA98" s="82">
        <f>+'Finished goods'!$O$3*'PRIVATE CUSTOMER (BtoC)'!T98</f>
        <v>0</v>
      </c>
      <c r="AB98" s="82">
        <f>+'Finished goods'!$P$11*R98</f>
        <v>0</v>
      </c>
      <c r="AC98" s="83">
        <f t="shared" si="77"/>
        <v>0</v>
      </c>
      <c r="AD98" s="93" t="e">
        <f t="shared" si="78"/>
        <v>#DIV/0!</v>
      </c>
      <c r="AE98" s="93">
        <f>+'REVENUE DATA'!$D$11</f>
        <v>200</v>
      </c>
      <c r="AF98" s="90" t="e">
        <f t="shared" si="79"/>
        <v>#DIV/0!</v>
      </c>
      <c r="AG98" s="91" t="e">
        <f t="shared" si="80"/>
        <v>#DIV/0!</v>
      </c>
      <c r="AH98" s="92">
        <f t="shared" si="81"/>
        <v>0</v>
      </c>
    </row>
    <row r="99" spans="1:34" x14ac:dyDescent="0.3">
      <c r="A99" s="223"/>
      <c r="B99" s="4"/>
      <c r="C99" s="4" t="str">
        <f t="shared" si="70"/>
        <v>Vaso Logo</v>
      </c>
      <c r="D99" s="5">
        <f t="shared" si="70"/>
        <v>5</v>
      </c>
      <c r="E99" s="5">
        <f t="shared" si="70"/>
        <v>10</v>
      </c>
      <c r="F99" s="5">
        <f t="shared" si="70"/>
        <v>0.39</v>
      </c>
      <c r="G99" s="5">
        <f t="shared" si="70"/>
        <v>39</v>
      </c>
      <c r="H99" s="4">
        <f t="shared" si="70"/>
        <v>1.1639584900000001E-3</v>
      </c>
      <c r="I99" s="6">
        <f t="shared" si="70"/>
        <v>3.2332180277777778</v>
      </c>
      <c r="J99" s="6">
        <f t="shared" si="70"/>
        <v>2.9098962250000002</v>
      </c>
      <c r="R99" s="23">
        <v>0</v>
      </c>
      <c r="S99" s="6">
        <f t="shared" si="68"/>
        <v>0</v>
      </c>
      <c r="T99" s="6">
        <f t="shared" si="71"/>
        <v>0</v>
      </c>
      <c r="U99" s="4">
        <f t="shared" si="72"/>
        <v>0</v>
      </c>
      <c r="V99" s="115">
        <f>+S99*$M$3/'COST DATA'!$D$26</f>
        <v>0</v>
      </c>
      <c r="W99" s="16">
        <f t="shared" si="73"/>
        <v>0</v>
      </c>
      <c r="X99" s="27">
        <f t="shared" si="74"/>
        <v>0</v>
      </c>
      <c r="Y99" s="27">
        <f t="shared" si="75"/>
        <v>0</v>
      </c>
      <c r="Z99" s="4">
        <f t="shared" si="76"/>
        <v>0</v>
      </c>
      <c r="AA99" s="82">
        <f>+'Finished goods'!$O$3*'PRIVATE CUSTOMER (BtoC)'!T99</f>
        <v>0</v>
      </c>
      <c r="AB99" s="82">
        <f>+'Finished goods'!$P$12*R99</f>
        <v>0</v>
      </c>
      <c r="AC99" s="83">
        <f t="shared" si="77"/>
        <v>0</v>
      </c>
      <c r="AD99" s="93" t="e">
        <f t="shared" si="78"/>
        <v>#DIV/0!</v>
      </c>
      <c r="AE99" s="93">
        <f>+'REVENUE DATA'!$D$12</f>
        <v>350</v>
      </c>
      <c r="AF99" s="90" t="e">
        <f t="shared" si="79"/>
        <v>#DIV/0!</v>
      </c>
      <c r="AG99" s="91" t="e">
        <f t="shared" si="80"/>
        <v>#DIV/0!</v>
      </c>
      <c r="AH99" s="92">
        <f t="shared" si="81"/>
        <v>0</v>
      </c>
    </row>
    <row r="100" spans="1:34" x14ac:dyDescent="0.3">
      <c r="A100" s="223"/>
      <c r="B100" s="4"/>
      <c r="C100" s="4" t="str">
        <f t="shared" si="70"/>
        <v>Copri candela</v>
      </c>
      <c r="D100" s="5">
        <f t="shared" si="70"/>
        <v>4</v>
      </c>
      <c r="E100" s="5">
        <f t="shared" si="70"/>
        <v>5</v>
      </c>
      <c r="F100" s="5">
        <f t="shared" si="70"/>
        <v>0.34</v>
      </c>
      <c r="G100" s="5">
        <f t="shared" si="70"/>
        <v>34</v>
      </c>
      <c r="H100" s="4">
        <f t="shared" si="70"/>
        <v>2.3780405299999999E-4</v>
      </c>
      <c r="I100" s="6">
        <f t="shared" si="70"/>
        <v>0.66056681388888883</v>
      </c>
      <c r="J100" s="6">
        <f t="shared" si="70"/>
        <v>0.59451013249999995</v>
      </c>
      <c r="R100" s="23">
        <v>0</v>
      </c>
      <c r="S100" s="6">
        <f t="shared" si="68"/>
        <v>0</v>
      </c>
      <c r="T100" s="6">
        <f t="shared" si="71"/>
        <v>0</v>
      </c>
      <c r="U100" s="4">
        <f t="shared" si="72"/>
        <v>0</v>
      </c>
      <c r="V100" s="115">
        <f>+S100*$M$3/'COST DATA'!$D$26</f>
        <v>0</v>
      </c>
      <c r="W100" s="16">
        <f t="shared" si="73"/>
        <v>0</v>
      </c>
      <c r="X100" s="27">
        <f t="shared" si="74"/>
        <v>0</v>
      </c>
      <c r="Y100" s="27">
        <f t="shared" si="75"/>
        <v>0</v>
      </c>
      <c r="Z100" s="4">
        <f t="shared" si="76"/>
        <v>0</v>
      </c>
      <c r="AA100" s="82">
        <f>+'Finished goods'!$O$3*'PRIVATE CUSTOMER (BtoC)'!T100</f>
        <v>0</v>
      </c>
      <c r="AB100" s="82">
        <f>+'Finished goods'!$P$13*R100</f>
        <v>0</v>
      </c>
      <c r="AC100" s="83">
        <f t="shared" si="77"/>
        <v>0</v>
      </c>
      <c r="AD100" s="93" t="e">
        <f t="shared" si="78"/>
        <v>#DIV/0!</v>
      </c>
      <c r="AE100" s="93">
        <f>+'REVENUE DATA'!$D$13</f>
        <v>75</v>
      </c>
      <c r="AF100" s="90" t="e">
        <f t="shared" si="79"/>
        <v>#DIV/0!</v>
      </c>
      <c r="AG100" s="91" t="e">
        <f t="shared" si="80"/>
        <v>#DIV/0!</v>
      </c>
      <c r="AH100" s="92">
        <f t="shared" si="81"/>
        <v>0</v>
      </c>
    </row>
    <row r="101" spans="1:34" x14ac:dyDescent="0.3">
      <c r="A101" s="223"/>
      <c r="B101" s="4"/>
      <c r="C101" s="4" t="str">
        <f t="shared" si="70"/>
        <v xml:space="preserve">Vaso Grosso </v>
      </c>
      <c r="D101" s="5">
        <f t="shared" si="70"/>
        <v>4</v>
      </c>
      <c r="E101" s="5">
        <f t="shared" si="70"/>
        <v>5</v>
      </c>
      <c r="F101" s="5">
        <f t="shared" si="70"/>
        <v>1.31</v>
      </c>
      <c r="G101" s="5">
        <f t="shared" si="70"/>
        <v>91</v>
      </c>
      <c r="H101" s="4">
        <f t="shared" si="70"/>
        <v>9.52764444E-4</v>
      </c>
      <c r="I101" s="6">
        <f t="shared" si="70"/>
        <v>2.6465679</v>
      </c>
      <c r="J101" s="6">
        <f t="shared" si="70"/>
        <v>2.3819111099999999</v>
      </c>
      <c r="R101" s="23">
        <v>0</v>
      </c>
      <c r="S101" s="6">
        <f t="shared" si="68"/>
        <v>0</v>
      </c>
      <c r="T101" s="6">
        <f t="shared" si="71"/>
        <v>0</v>
      </c>
      <c r="U101" s="4">
        <f t="shared" si="72"/>
        <v>0</v>
      </c>
      <c r="V101" s="115">
        <f>+S101*$M$3/'COST DATA'!$D$26</f>
        <v>0</v>
      </c>
      <c r="W101" s="16">
        <f t="shared" si="73"/>
        <v>0</v>
      </c>
      <c r="X101" s="27">
        <f t="shared" si="74"/>
        <v>0</v>
      </c>
      <c r="Y101" s="27">
        <f t="shared" si="75"/>
        <v>0</v>
      </c>
      <c r="Z101" s="4">
        <f t="shared" si="76"/>
        <v>0</v>
      </c>
      <c r="AA101" s="82">
        <f>+'Finished goods'!$O$3*'PRIVATE CUSTOMER (BtoC)'!T101</f>
        <v>0</v>
      </c>
      <c r="AB101" s="82">
        <f>+'Finished goods'!$P$14*R101</f>
        <v>0</v>
      </c>
      <c r="AC101" s="83">
        <f t="shared" si="77"/>
        <v>0</v>
      </c>
      <c r="AD101" s="93" t="e">
        <f t="shared" si="78"/>
        <v>#DIV/0!</v>
      </c>
      <c r="AE101" s="93">
        <f>+'REVENUE DATA'!$D$14</f>
        <v>250</v>
      </c>
      <c r="AF101" s="90" t="e">
        <f t="shared" si="79"/>
        <v>#DIV/0!</v>
      </c>
      <c r="AG101" s="91" t="e">
        <f t="shared" si="80"/>
        <v>#DIV/0!</v>
      </c>
      <c r="AH101" s="92">
        <f t="shared" si="81"/>
        <v>0</v>
      </c>
    </row>
    <row r="102" spans="1:34" x14ac:dyDescent="0.3">
      <c r="A102" s="223"/>
      <c r="B102" s="4"/>
      <c r="C102" s="4" t="str">
        <f t="shared" si="70"/>
        <v>Bicchiere curve dritto</v>
      </c>
      <c r="D102" s="5">
        <f t="shared" si="70"/>
        <v>2</v>
      </c>
      <c r="E102" s="5">
        <f t="shared" si="70"/>
        <v>2</v>
      </c>
      <c r="F102" s="5">
        <f t="shared" si="70"/>
        <v>0.26</v>
      </c>
      <c r="G102" s="5">
        <f t="shared" si="70"/>
        <v>26</v>
      </c>
      <c r="H102" s="4">
        <f t="shared" si="70"/>
        <v>1.6928511099999999E-4</v>
      </c>
      <c r="I102" s="6">
        <f t="shared" si="70"/>
        <v>0.47023641944444439</v>
      </c>
      <c r="J102" s="6">
        <f t="shared" si="70"/>
        <v>0.42321277749999997</v>
      </c>
      <c r="R102" s="23">
        <v>0</v>
      </c>
      <c r="S102" s="6">
        <f t="shared" si="68"/>
        <v>0</v>
      </c>
      <c r="T102" s="6">
        <f t="shared" si="71"/>
        <v>0</v>
      </c>
      <c r="U102" s="4">
        <f t="shared" si="72"/>
        <v>0</v>
      </c>
      <c r="V102" s="115">
        <f>+S102*$M$3/'COST DATA'!$D$26</f>
        <v>0</v>
      </c>
      <c r="W102" s="16">
        <f t="shared" si="73"/>
        <v>0</v>
      </c>
      <c r="X102" s="27">
        <f t="shared" si="74"/>
        <v>0</v>
      </c>
      <c r="Y102" s="27">
        <f t="shared" si="75"/>
        <v>0</v>
      </c>
      <c r="Z102" s="4">
        <f t="shared" si="76"/>
        <v>0</v>
      </c>
      <c r="AA102" s="82">
        <f>+'Finished goods'!$O$3*'PRIVATE CUSTOMER (BtoC)'!T102</f>
        <v>0</v>
      </c>
      <c r="AB102" s="82">
        <f>+'Finished goods'!$P$15*R102</f>
        <v>0</v>
      </c>
      <c r="AC102" s="83">
        <f t="shared" si="77"/>
        <v>0</v>
      </c>
      <c r="AD102" s="93" t="e">
        <f t="shared" si="78"/>
        <v>#DIV/0!</v>
      </c>
      <c r="AE102" s="93">
        <f>+'REVENUE DATA'!$D$15</f>
        <v>0</v>
      </c>
      <c r="AF102" s="90" t="e">
        <f t="shared" si="79"/>
        <v>#DIV/0!</v>
      </c>
      <c r="AG102" s="91" t="e">
        <f t="shared" si="80"/>
        <v>#DIV/0!</v>
      </c>
      <c r="AH102" s="92">
        <f t="shared" si="81"/>
        <v>0</v>
      </c>
    </row>
    <row r="103" spans="1:34" x14ac:dyDescent="0.3">
      <c r="A103" s="223"/>
      <c r="B103" s="4"/>
      <c r="C103" s="4" t="str">
        <f t="shared" si="70"/>
        <v>Bicchiere curve twist</v>
      </c>
      <c r="D103" s="5">
        <f t="shared" si="70"/>
        <v>2</v>
      </c>
      <c r="E103" s="5">
        <f t="shared" si="70"/>
        <v>2</v>
      </c>
      <c r="F103" s="5">
        <f t="shared" si="70"/>
        <v>0.25</v>
      </c>
      <c r="G103" s="5">
        <f t="shared" si="70"/>
        <v>25</v>
      </c>
      <c r="H103" s="4">
        <f t="shared" si="70"/>
        <v>1.69285896E-4</v>
      </c>
      <c r="I103" s="6">
        <f t="shared" si="70"/>
        <v>0.47023859999999995</v>
      </c>
      <c r="J103" s="6">
        <f t="shared" si="70"/>
        <v>0.42321473999999998</v>
      </c>
      <c r="R103" s="23">
        <v>0</v>
      </c>
      <c r="S103" s="6">
        <f t="shared" si="68"/>
        <v>0</v>
      </c>
      <c r="T103" s="6">
        <f t="shared" si="71"/>
        <v>0</v>
      </c>
      <c r="U103" s="4">
        <f t="shared" si="72"/>
        <v>0</v>
      </c>
      <c r="V103" s="115">
        <f>+S103*$M$3/'COST DATA'!$D$26</f>
        <v>0</v>
      </c>
      <c r="W103" s="16">
        <f t="shared" si="73"/>
        <v>0</v>
      </c>
      <c r="X103" s="27">
        <f t="shared" si="74"/>
        <v>0</v>
      </c>
      <c r="Y103" s="27">
        <f t="shared" si="75"/>
        <v>0</v>
      </c>
      <c r="Z103" s="4">
        <f t="shared" si="76"/>
        <v>0</v>
      </c>
      <c r="AA103" s="82">
        <f>+'Finished goods'!$O$3*'PRIVATE CUSTOMER (BtoC)'!T103</f>
        <v>0</v>
      </c>
      <c r="AB103" s="82">
        <f>+'Finished goods'!$P$16*R103</f>
        <v>0</v>
      </c>
      <c r="AC103" s="83">
        <f t="shared" si="77"/>
        <v>0</v>
      </c>
      <c r="AD103" s="93" t="e">
        <f t="shared" si="78"/>
        <v>#DIV/0!</v>
      </c>
      <c r="AE103" s="93">
        <f>+'REVENUE DATA'!$D$16</f>
        <v>0</v>
      </c>
      <c r="AF103" s="90" t="e">
        <f t="shared" si="79"/>
        <v>#DIV/0!</v>
      </c>
      <c r="AG103" s="91" t="e">
        <f t="shared" si="80"/>
        <v>#DIV/0!</v>
      </c>
      <c r="AH103" s="92">
        <f t="shared" si="81"/>
        <v>0</v>
      </c>
    </row>
    <row r="104" spans="1:34" x14ac:dyDescent="0.3">
      <c r="A104" s="223"/>
      <c r="B104" s="4"/>
      <c r="C104" s="4" t="str">
        <f t="shared" si="70"/>
        <v>Caraffa curva</v>
      </c>
      <c r="D104" s="5">
        <f t="shared" si="70"/>
        <v>2</v>
      </c>
      <c r="E104" s="5">
        <f t="shared" si="70"/>
        <v>2</v>
      </c>
      <c r="F104" s="5">
        <f t="shared" si="70"/>
        <v>0.56999999999999995</v>
      </c>
      <c r="G104" s="5">
        <f t="shared" si="70"/>
        <v>57</v>
      </c>
      <c r="H104" s="4">
        <f t="shared" si="70"/>
        <v>3.69342133E-4</v>
      </c>
      <c r="I104" s="6">
        <f t="shared" si="70"/>
        <v>1.0259503694444445</v>
      </c>
      <c r="J104" s="6">
        <f t="shared" si="70"/>
        <v>0.92335533250000001</v>
      </c>
      <c r="R104" s="23">
        <v>0</v>
      </c>
      <c r="S104" s="6">
        <f t="shared" si="68"/>
        <v>0</v>
      </c>
      <c r="T104" s="6">
        <f t="shared" si="71"/>
        <v>0</v>
      </c>
      <c r="U104" s="4">
        <f t="shared" si="72"/>
        <v>0</v>
      </c>
      <c r="V104" s="115">
        <f>+S104*$M$3/'COST DATA'!$D$26</f>
        <v>0</v>
      </c>
      <c r="W104" s="16">
        <f>+U104*$N$3</f>
        <v>0</v>
      </c>
      <c r="X104" s="27">
        <f t="shared" si="74"/>
        <v>0</v>
      </c>
      <c r="Y104" s="27">
        <f t="shared" si="75"/>
        <v>0</v>
      </c>
      <c r="Z104" s="4">
        <f t="shared" si="76"/>
        <v>0</v>
      </c>
      <c r="AA104" s="82">
        <f>+'Finished goods'!$O$3*'PRIVATE CUSTOMER (BtoC)'!T104</f>
        <v>0</v>
      </c>
      <c r="AB104" s="82">
        <f>+'Finished goods'!$P$17*R104</f>
        <v>0</v>
      </c>
      <c r="AC104" s="83">
        <f t="shared" si="77"/>
        <v>0</v>
      </c>
      <c r="AD104" s="93" t="e">
        <f t="shared" si="78"/>
        <v>#DIV/0!</v>
      </c>
      <c r="AE104" s="93">
        <f>+'REVENUE DATA'!$D$17</f>
        <v>30</v>
      </c>
      <c r="AF104" s="90" t="e">
        <f t="shared" si="79"/>
        <v>#DIV/0!</v>
      </c>
      <c r="AG104" s="91" t="e">
        <f t="shared" si="80"/>
        <v>#DIV/0!</v>
      </c>
      <c r="AH104" s="92">
        <f t="shared" si="81"/>
        <v>0</v>
      </c>
    </row>
    <row r="105" spans="1:34" x14ac:dyDescent="0.3">
      <c r="A105" s="223"/>
      <c r="B105" s="4"/>
      <c r="C105" s="4" t="str">
        <f t="shared" si="70"/>
        <v>Caraffa colonna dritta</v>
      </c>
      <c r="D105" s="5">
        <f t="shared" si="70"/>
        <v>2</v>
      </c>
      <c r="E105" s="5">
        <f t="shared" si="70"/>
        <v>1</v>
      </c>
      <c r="F105" s="5">
        <f t="shared" si="70"/>
        <v>1.4</v>
      </c>
      <c r="G105" s="5">
        <f t="shared" si="70"/>
        <v>100</v>
      </c>
      <c r="H105" s="4">
        <f t="shared" si="70"/>
        <v>3.2796365999999998E-4</v>
      </c>
      <c r="I105" s="6">
        <f t="shared" si="70"/>
        <v>0.91101016666666657</v>
      </c>
      <c r="J105" s="6">
        <f t="shared" si="70"/>
        <v>0.81990914999999998</v>
      </c>
      <c r="R105" s="23">
        <v>0</v>
      </c>
      <c r="S105" s="6">
        <f t="shared" si="68"/>
        <v>0</v>
      </c>
      <c r="T105" s="6">
        <f t="shared" si="71"/>
        <v>0</v>
      </c>
      <c r="U105" s="4">
        <f t="shared" si="72"/>
        <v>0</v>
      </c>
      <c r="V105" s="115">
        <f>+S105*$M$3/'COST DATA'!$D$26</f>
        <v>0</v>
      </c>
      <c r="W105" s="16">
        <f t="shared" ref="W105:W114" si="82">+U105*$N$3</f>
        <v>0</v>
      </c>
      <c r="X105" s="27">
        <f t="shared" si="74"/>
        <v>0</v>
      </c>
      <c r="Y105" s="27">
        <f t="shared" si="75"/>
        <v>0</v>
      </c>
      <c r="Z105" s="4">
        <f t="shared" si="76"/>
        <v>0</v>
      </c>
      <c r="AA105" s="82">
        <f>+'Finished goods'!$O$3*'PRIVATE CUSTOMER (BtoC)'!T105</f>
        <v>0</v>
      </c>
      <c r="AB105" s="82">
        <f>+'Finished goods'!$P$18*R105</f>
        <v>0</v>
      </c>
      <c r="AC105" s="83">
        <f t="shared" si="77"/>
        <v>0</v>
      </c>
      <c r="AD105" s="93" t="e">
        <f t="shared" si="78"/>
        <v>#DIV/0!</v>
      </c>
      <c r="AE105" s="93">
        <f>+'REVENUE DATA'!$D$18</f>
        <v>30</v>
      </c>
      <c r="AF105" s="90" t="e">
        <f t="shared" si="79"/>
        <v>#DIV/0!</v>
      </c>
      <c r="AG105" s="91" t="e">
        <f t="shared" si="80"/>
        <v>#DIV/0!</v>
      </c>
      <c r="AH105" s="92">
        <f t="shared" si="81"/>
        <v>0</v>
      </c>
    </row>
    <row r="106" spans="1:34" x14ac:dyDescent="0.3">
      <c r="A106" s="223"/>
      <c r="B106" s="4"/>
      <c r="C106" s="4" t="str">
        <f t="shared" si="70"/>
        <v>Caraffa colonna twist1</v>
      </c>
      <c r="D106" s="5">
        <f t="shared" si="70"/>
        <v>2</v>
      </c>
      <c r="E106" s="5">
        <f t="shared" si="70"/>
        <v>1</v>
      </c>
      <c r="F106" s="5">
        <f t="shared" si="70"/>
        <v>1.41</v>
      </c>
      <c r="G106" s="5">
        <f t="shared" si="70"/>
        <v>101</v>
      </c>
      <c r="H106" s="4">
        <f t="shared" si="70"/>
        <v>3.323221E-4</v>
      </c>
      <c r="I106" s="6">
        <f t="shared" si="70"/>
        <v>0.92311694444444448</v>
      </c>
      <c r="J106" s="6">
        <f t="shared" si="70"/>
        <v>0.83080525000000005</v>
      </c>
      <c r="R106" s="23">
        <v>0</v>
      </c>
      <c r="S106" s="6">
        <f t="shared" si="68"/>
        <v>0</v>
      </c>
      <c r="T106" s="6">
        <f t="shared" si="71"/>
        <v>0</v>
      </c>
      <c r="U106" s="4">
        <f t="shared" si="72"/>
        <v>0</v>
      </c>
      <c r="V106" s="115">
        <f>+S106*$M$3/'COST DATA'!$D$26</f>
        <v>0</v>
      </c>
      <c r="W106" s="16">
        <f t="shared" si="82"/>
        <v>0</v>
      </c>
      <c r="X106" s="27">
        <f t="shared" si="74"/>
        <v>0</v>
      </c>
      <c r="Y106" s="27">
        <f t="shared" si="75"/>
        <v>0</v>
      </c>
      <c r="Z106" s="4">
        <f t="shared" si="76"/>
        <v>0</v>
      </c>
      <c r="AA106" s="82">
        <f>+'Finished goods'!$O$3*'PRIVATE CUSTOMER (BtoC)'!T106</f>
        <v>0</v>
      </c>
      <c r="AB106" s="82">
        <f>+'Finished goods'!$P$19*R106</f>
        <v>0</v>
      </c>
      <c r="AC106" s="83">
        <f t="shared" si="77"/>
        <v>0</v>
      </c>
      <c r="AD106" s="93" t="e">
        <f t="shared" si="78"/>
        <v>#DIV/0!</v>
      </c>
      <c r="AE106" s="93">
        <f>+'REVENUE DATA'!$D$19</f>
        <v>30</v>
      </c>
      <c r="AF106" s="90" t="e">
        <f t="shared" si="79"/>
        <v>#DIV/0!</v>
      </c>
      <c r="AG106" s="91" t="e">
        <f t="shared" si="80"/>
        <v>#DIV/0!</v>
      </c>
      <c r="AH106" s="92">
        <f t="shared" si="81"/>
        <v>0</v>
      </c>
    </row>
    <row r="107" spans="1:34" x14ac:dyDescent="0.3">
      <c r="A107" s="223"/>
      <c r="B107" s="4"/>
      <c r="C107" s="4" t="str">
        <f t="shared" si="70"/>
        <v>Caraffa colonna twist2</v>
      </c>
      <c r="D107" s="5">
        <f t="shared" si="70"/>
        <v>2</v>
      </c>
      <c r="E107" s="5">
        <f t="shared" si="70"/>
        <v>1</v>
      </c>
      <c r="F107" s="5">
        <f t="shared" si="70"/>
        <v>1.45</v>
      </c>
      <c r="G107" s="5">
        <f t="shared" si="70"/>
        <v>105</v>
      </c>
      <c r="H107" s="4">
        <f t="shared" si="70"/>
        <v>3.4271101000000001E-4</v>
      </c>
      <c r="I107" s="6">
        <f t="shared" si="70"/>
        <v>0.95197502777777776</v>
      </c>
      <c r="J107" s="6">
        <f t="shared" si="70"/>
        <v>0.85677752500000004</v>
      </c>
      <c r="R107" s="23">
        <v>0</v>
      </c>
      <c r="S107" s="6">
        <f t="shared" si="68"/>
        <v>0</v>
      </c>
      <c r="T107" s="6">
        <f t="shared" si="71"/>
        <v>0</v>
      </c>
      <c r="U107" s="4">
        <f t="shared" si="72"/>
        <v>0</v>
      </c>
      <c r="V107" s="115">
        <f>+S107*$M$3/'COST DATA'!$D$26</f>
        <v>0</v>
      </c>
      <c r="W107" s="16">
        <f t="shared" si="82"/>
        <v>0</v>
      </c>
      <c r="X107" s="27">
        <f t="shared" si="74"/>
        <v>0</v>
      </c>
      <c r="Y107" s="27">
        <f t="shared" si="75"/>
        <v>0</v>
      </c>
      <c r="Z107" s="4">
        <f t="shared" si="76"/>
        <v>0</v>
      </c>
      <c r="AA107" s="82">
        <f>+'Finished goods'!$O$3*'PRIVATE CUSTOMER (BtoC)'!T107</f>
        <v>0</v>
      </c>
      <c r="AB107" s="82">
        <f>+'Finished goods'!$P$20*R107</f>
        <v>0</v>
      </c>
      <c r="AC107" s="83">
        <f t="shared" si="77"/>
        <v>0</v>
      </c>
      <c r="AD107" s="93" t="e">
        <f t="shared" si="78"/>
        <v>#DIV/0!</v>
      </c>
      <c r="AE107" s="93">
        <f>+'REVENUE DATA'!$D$20</f>
        <v>30</v>
      </c>
      <c r="AF107" s="90" t="e">
        <f t="shared" si="79"/>
        <v>#DIV/0!</v>
      </c>
      <c r="AG107" s="91" t="e">
        <f t="shared" si="80"/>
        <v>#DIV/0!</v>
      </c>
      <c r="AH107" s="92">
        <f t="shared" si="81"/>
        <v>0</v>
      </c>
    </row>
    <row r="108" spans="1:34" x14ac:dyDescent="0.3">
      <c r="A108" s="223"/>
      <c r="B108" s="4"/>
      <c r="C108" s="4" t="str">
        <f t="shared" si="70"/>
        <v>Caraffa colonna twist3</v>
      </c>
      <c r="D108" s="5">
        <f t="shared" si="70"/>
        <v>2</v>
      </c>
      <c r="E108" s="5">
        <f t="shared" si="70"/>
        <v>1</v>
      </c>
      <c r="F108" s="5">
        <f t="shared" si="70"/>
        <v>1.42</v>
      </c>
      <c r="G108" s="5">
        <f t="shared" si="70"/>
        <v>102</v>
      </c>
      <c r="H108" s="4">
        <f t="shared" si="70"/>
        <v>3.3727121999999998E-4</v>
      </c>
      <c r="I108" s="6">
        <f t="shared" si="70"/>
        <v>0.93686449999999988</v>
      </c>
      <c r="J108" s="6">
        <f t="shared" si="70"/>
        <v>0.8431780499999999</v>
      </c>
      <c r="R108" s="23">
        <v>0</v>
      </c>
      <c r="S108" s="6">
        <f t="shared" si="68"/>
        <v>0</v>
      </c>
      <c r="T108" s="6">
        <f t="shared" si="71"/>
        <v>0</v>
      </c>
      <c r="U108" s="4">
        <f t="shared" si="72"/>
        <v>0</v>
      </c>
      <c r="V108" s="115">
        <f>+S108*$M$3/'COST DATA'!$D$26</f>
        <v>0</v>
      </c>
      <c r="W108" s="16">
        <f t="shared" si="82"/>
        <v>0</v>
      </c>
      <c r="X108" s="27">
        <f t="shared" si="74"/>
        <v>0</v>
      </c>
      <c r="Y108" s="27">
        <f t="shared" si="75"/>
        <v>0</v>
      </c>
      <c r="Z108" s="4">
        <f t="shared" si="76"/>
        <v>0</v>
      </c>
      <c r="AA108" s="82">
        <f>+'Finished goods'!$O$3*'PRIVATE CUSTOMER (BtoC)'!T108</f>
        <v>0</v>
      </c>
      <c r="AB108" s="82">
        <f>+'Finished goods'!$P$21*R108</f>
        <v>0</v>
      </c>
      <c r="AC108" s="83">
        <f t="shared" si="77"/>
        <v>0</v>
      </c>
      <c r="AD108" s="93" t="e">
        <f t="shared" si="78"/>
        <v>#DIV/0!</v>
      </c>
      <c r="AE108" s="93">
        <f>+'REVENUE DATA'!$D$21</f>
        <v>30</v>
      </c>
      <c r="AF108" s="90" t="e">
        <f t="shared" si="79"/>
        <v>#DIV/0!</v>
      </c>
      <c r="AG108" s="91" t="e">
        <f t="shared" si="80"/>
        <v>#DIV/0!</v>
      </c>
      <c r="AH108" s="92">
        <f t="shared" si="81"/>
        <v>0</v>
      </c>
    </row>
    <row r="109" spans="1:34" x14ac:dyDescent="0.3">
      <c r="A109" s="223"/>
      <c r="B109" s="4"/>
      <c r="C109" s="4" t="str">
        <f t="shared" si="70"/>
        <v>Bicchiere colonna twist1</v>
      </c>
      <c r="D109" s="5">
        <f t="shared" si="70"/>
        <v>1</v>
      </c>
      <c r="E109" s="5">
        <f t="shared" si="70"/>
        <v>1</v>
      </c>
      <c r="F109" s="5">
        <f t="shared" si="70"/>
        <v>0.57999999999999996</v>
      </c>
      <c r="G109" s="5">
        <f t="shared" si="70"/>
        <v>58</v>
      </c>
      <c r="H109" s="4">
        <f t="shared" si="70"/>
        <v>9.7981700000000004E-5</v>
      </c>
      <c r="I109" s="6">
        <f t="shared" si="70"/>
        <v>0.27217138888888892</v>
      </c>
      <c r="J109" s="6">
        <f t="shared" si="70"/>
        <v>0.24495425000000001</v>
      </c>
      <c r="R109" s="23">
        <v>0</v>
      </c>
      <c r="S109" s="6">
        <f t="shared" si="68"/>
        <v>0</v>
      </c>
      <c r="T109" s="6">
        <f t="shared" si="71"/>
        <v>0</v>
      </c>
      <c r="U109" s="4">
        <f t="shared" si="72"/>
        <v>0</v>
      </c>
      <c r="V109" s="115">
        <f>+S109*$M$3/'COST DATA'!$D$26</f>
        <v>0</v>
      </c>
      <c r="W109" s="16">
        <f t="shared" si="82"/>
        <v>0</v>
      </c>
      <c r="X109" s="27">
        <f t="shared" si="74"/>
        <v>0</v>
      </c>
      <c r="Y109" s="27">
        <f t="shared" si="75"/>
        <v>0</v>
      </c>
      <c r="Z109" s="4">
        <f t="shared" si="76"/>
        <v>0</v>
      </c>
      <c r="AA109" s="82">
        <f>+'Finished goods'!$O$3*'PRIVATE CUSTOMER (BtoC)'!T109</f>
        <v>0</v>
      </c>
      <c r="AB109" s="82">
        <f>+'Finished goods'!$P$22*R109</f>
        <v>0</v>
      </c>
      <c r="AC109" s="83">
        <f t="shared" si="77"/>
        <v>0</v>
      </c>
      <c r="AD109" s="93" t="e">
        <f t="shared" si="78"/>
        <v>#DIV/0!</v>
      </c>
      <c r="AE109" s="93">
        <f>+'REVENUE DATA'!$D$22</f>
        <v>0</v>
      </c>
      <c r="AF109" s="90" t="e">
        <f t="shared" si="79"/>
        <v>#DIV/0!</v>
      </c>
      <c r="AG109" s="91" t="e">
        <f t="shared" si="80"/>
        <v>#DIV/0!</v>
      </c>
      <c r="AH109" s="92">
        <f t="shared" si="81"/>
        <v>0</v>
      </c>
    </row>
    <row r="110" spans="1:34" x14ac:dyDescent="0.3">
      <c r="A110" s="223"/>
      <c r="B110" s="4"/>
      <c r="C110" s="4" t="str">
        <f t="shared" si="70"/>
        <v>Bicchiere colonna twist2</v>
      </c>
      <c r="D110" s="5">
        <f t="shared" si="70"/>
        <v>1</v>
      </c>
      <c r="E110" s="5">
        <f t="shared" si="70"/>
        <v>1</v>
      </c>
      <c r="F110" s="5">
        <f t="shared" si="70"/>
        <v>0.59</v>
      </c>
      <c r="G110" s="5">
        <f t="shared" si="70"/>
        <v>59</v>
      </c>
      <c r="H110" s="4">
        <f t="shared" si="70"/>
        <v>9.7982366999999995E-5</v>
      </c>
      <c r="I110" s="6">
        <f t="shared" si="70"/>
        <v>0.27217324166666662</v>
      </c>
      <c r="J110" s="6">
        <f t="shared" si="70"/>
        <v>0.24495591749999998</v>
      </c>
      <c r="R110" s="23">
        <v>0</v>
      </c>
      <c r="S110" s="6">
        <f t="shared" si="68"/>
        <v>0</v>
      </c>
      <c r="T110" s="6">
        <f t="shared" si="71"/>
        <v>0</v>
      </c>
      <c r="U110" s="4">
        <f t="shared" si="72"/>
        <v>0</v>
      </c>
      <c r="V110" s="115">
        <f>+S110*$M$3/'COST DATA'!$D$26</f>
        <v>0</v>
      </c>
      <c r="W110" s="16">
        <f t="shared" si="82"/>
        <v>0</v>
      </c>
      <c r="X110" s="27">
        <f t="shared" si="74"/>
        <v>0</v>
      </c>
      <c r="Y110" s="27">
        <f t="shared" si="75"/>
        <v>0</v>
      </c>
      <c r="Z110" s="4">
        <f t="shared" si="76"/>
        <v>0</v>
      </c>
      <c r="AA110" s="82">
        <f>+'Finished goods'!$O$3*'PRIVATE CUSTOMER (BtoC)'!T110</f>
        <v>0</v>
      </c>
      <c r="AB110" s="82">
        <f>+'Finished goods'!$P$23*R110</f>
        <v>0</v>
      </c>
      <c r="AC110" s="83">
        <f t="shared" si="77"/>
        <v>0</v>
      </c>
      <c r="AD110" s="93" t="e">
        <f t="shared" si="78"/>
        <v>#DIV/0!</v>
      </c>
      <c r="AE110" s="93">
        <f>+'REVENUE DATA'!$D$23</f>
        <v>0</v>
      </c>
      <c r="AF110" s="90" t="e">
        <f t="shared" si="79"/>
        <v>#DIV/0!</v>
      </c>
      <c r="AG110" s="91" t="e">
        <f t="shared" si="80"/>
        <v>#DIV/0!</v>
      </c>
      <c r="AH110" s="92">
        <f t="shared" si="81"/>
        <v>0</v>
      </c>
    </row>
    <row r="111" spans="1:34" x14ac:dyDescent="0.3">
      <c r="A111" s="223"/>
      <c r="B111" s="4"/>
      <c r="C111" s="4" t="str">
        <f t="shared" si="70"/>
        <v>Bicchiere colonna twist3</v>
      </c>
      <c r="D111" s="5">
        <f t="shared" si="70"/>
        <v>1</v>
      </c>
      <c r="E111" s="5">
        <f t="shared" si="70"/>
        <v>1</v>
      </c>
      <c r="F111" s="5">
        <f t="shared" si="70"/>
        <v>0.59</v>
      </c>
      <c r="G111" s="5">
        <f t="shared" si="70"/>
        <v>59</v>
      </c>
      <c r="H111" s="4">
        <f t="shared" si="70"/>
        <v>9.7984652999999995E-5</v>
      </c>
      <c r="I111" s="6">
        <f t="shared" si="70"/>
        <v>0.27217959166666666</v>
      </c>
      <c r="J111" s="6">
        <f t="shared" si="70"/>
        <v>0.2449616325</v>
      </c>
      <c r="R111" s="23">
        <v>0</v>
      </c>
      <c r="S111" s="6">
        <f t="shared" si="68"/>
        <v>0</v>
      </c>
      <c r="T111" s="6">
        <f t="shared" si="71"/>
        <v>0</v>
      </c>
      <c r="U111" s="4">
        <f t="shared" si="72"/>
        <v>0</v>
      </c>
      <c r="V111" s="115">
        <f>+S111*$M$3/'COST DATA'!$D$26</f>
        <v>0</v>
      </c>
      <c r="W111" s="16">
        <f t="shared" si="82"/>
        <v>0</v>
      </c>
      <c r="X111" s="27">
        <f t="shared" si="74"/>
        <v>0</v>
      </c>
      <c r="Y111" s="27">
        <f t="shared" si="75"/>
        <v>0</v>
      </c>
      <c r="Z111" s="4">
        <f t="shared" si="76"/>
        <v>0</v>
      </c>
      <c r="AA111" s="82">
        <f>+'Finished goods'!$O$3*'PRIVATE CUSTOMER (BtoC)'!T111</f>
        <v>0</v>
      </c>
      <c r="AB111" s="82">
        <f>+'Finished goods'!$P$24*R111</f>
        <v>0</v>
      </c>
      <c r="AC111" s="83">
        <f t="shared" si="77"/>
        <v>0</v>
      </c>
      <c r="AD111" s="93" t="e">
        <f t="shared" si="78"/>
        <v>#DIV/0!</v>
      </c>
      <c r="AE111" s="93">
        <f>+'REVENUE DATA'!$D$24</f>
        <v>0</v>
      </c>
      <c r="AF111" s="90" t="e">
        <f t="shared" si="79"/>
        <v>#DIV/0!</v>
      </c>
      <c r="AG111" s="91" t="e">
        <f t="shared" si="80"/>
        <v>#DIV/0!</v>
      </c>
      <c r="AH111" s="92">
        <f t="shared" si="81"/>
        <v>0</v>
      </c>
    </row>
    <row r="112" spans="1:34" x14ac:dyDescent="0.3">
      <c r="A112" s="223"/>
      <c r="B112" s="4"/>
      <c r="C112" s="4" t="str">
        <f t="shared" si="70"/>
        <v>Bicchiere colonna twist alto</v>
      </c>
      <c r="D112" s="5">
        <f t="shared" si="70"/>
        <v>1</v>
      </c>
      <c r="E112" s="5">
        <f t="shared" si="70"/>
        <v>1</v>
      </c>
      <c r="F112" s="5">
        <f t="shared" si="70"/>
        <v>0.57999999999999996</v>
      </c>
      <c r="G112" s="5">
        <f t="shared" si="70"/>
        <v>58</v>
      </c>
      <c r="H112" s="4">
        <f t="shared" si="70"/>
        <v>9.4065272999999995E-5</v>
      </c>
      <c r="I112" s="6">
        <f t="shared" si="70"/>
        <v>0.26129242499999999</v>
      </c>
      <c r="J112" s="6">
        <f t="shared" si="70"/>
        <v>0.23516318249999998</v>
      </c>
      <c r="R112" s="23">
        <v>0</v>
      </c>
      <c r="S112" s="6">
        <f t="shared" si="68"/>
        <v>0</v>
      </c>
      <c r="T112" s="6">
        <f t="shared" si="71"/>
        <v>0</v>
      </c>
      <c r="U112" s="4">
        <f t="shared" si="72"/>
        <v>0</v>
      </c>
      <c r="V112" s="115">
        <f>+S112*$M$3/'COST DATA'!$D$26</f>
        <v>0</v>
      </c>
      <c r="W112" s="16">
        <f t="shared" si="82"/>
        <v>0</v>
      </c>
      <c r="X112" s="27">
        <f t="shared" si="74"/>
        <v>0</v>
      </c>
      <c r="Y112" s="27">
        <f t="shared" si="75"/>
        <v>0</v>
      </c>
      <c r="Z112" s="4">
        <f t="shared" si="76"/>
        <v>0</v>
      </c>
      <c r="AA112" s="82">
        <f>+'Finished goods'!$O$3*'PRIVATE CUSTOMER (BtoC)'!T112</f>
        <v>0</v>
      </c>
      <c r="AB112" s="82">
        <f>+'Finished goods'!$P$25*R112</f>
        <v>0</v>
      </c>
      <c r="AC112" s="83">
        <f t="shared" si="77"/>
        <v>0</v>
      </c>
      <c r="AD112" s="93" t="e">
        <f t="shared" si="78"/>
        <v>#DIV/0!</v>
      </c>
      <c r="AE112" s="93">
        <f>+'REVENUE DATA'!$D$25</f>
        <v>0</v>
      </c>
      <c r="AF112" s="90" t="e">
        <f t="shared" si="79"/>
        <v>#DIV/0!</v>
      </c>
      <c r="AG112" s="91" t="e">
        <f t="shared" si="80"/>
        <v>#DIV/0!</v>
      </c>
      <c r="AH112" s="92">
        <f t="shared" si="81"/>
        <v>0</v>
      </c>
    </row>
    <row r="113" spans="1:34" x14ac:dyDescent="0.3">
      <c r="A113" s="223"/>
      <c r="B113" s="4"/>
      <c r="C113" s="4" t="str">
        <f t="shared" si="70"/>
        <v>Oliera1</v>
      </c>
      <c r="D113" s="5">
        <f t="shared" si="70"/>
        <v>2</v>
      </c>
      <c r="E113" s="5">
        <f t="shared" si="70"/>
        <v>1</v>
      </c>
      <c r="F113" s="5">
        <f t="shared" si="70"/>
        <v>0.54</v>
      </c>
      <c r="G113" s="5">
        <f t="shared" si="70"/>
        <v>54</v>
      </c>
      <c r="H113" s="4">
        <f t="shared" si="70"/>
        <v>1.830542E-4</v>
      </c>
      <c r="I113" s="6">
        <f t="shared" si="70"/>
        <v>0.50848388888888885</v>
      </c>
      <c r="J113" s="6">
        <f t="shared" si="70"/>
        <v>0.45763549999999997</v>
      </c>
      <c r="R113" s="23">
        <v>0</v>
      </c>
      <c r="S113" s="6">
        <f t="shared" si="68"/>
        <v>0</v>
      </c>
      <c r="T113" s="6">
        <f t="shared" si="71"/>
        <v>0</v>
      </c>
      <c r="U113" s="4">
        <f t="shared" si="72"/>
        <v>0</v>
      </c>
      <c r="V113" s="115">
        <f>+S113*$M$3/'COST DATA'!$D$26</f>
        <v>0</v>
      </c>
      <c r="W113" s="16">
        <f t="shared" si="82"/>
        <v>0</v>
      </c>
      <c r="X113" s="27">
        <f t="shared" si="74"/>
        <v>0</v>
      </c>
      <c r="Y113" s="27">
        <f t="shared" si="75"/>
        <v>0</v>
      </c>
      <c r="Z113" s="4">
        <f t="shared" si="76"/>
        <v>0</v>
      </c>
      <c r="AA113" s="82">
        <f>+'Finished goods'!$O$3*'PRIVATE CUSTOMER (BtoC)'!T113</f>
        <v>0</v>
      </c>
      <c r="AB113" s="82">
        <f>+'Finished goods'!$P$26*R113</f>
        <v>0</v>
      </c>
      <c r="AC113" s="83">
        <f t="shared" si="77"/>
        <v>0</v>
      </c>
      <c r="AD113" s="93" t="e">
        <f t="shared" si="78"/>
        <v>#DIV/0!</v>
      </c>
      <c r="AE113" s="93">
        <f>+'REVENUE DATA'!$D$26</f>
        <v>0</v>
      </c>
      <c r="AF113" s="90" t="e">
        <f t="shared" si="79"/>
        <v>#DIV/0!</v>
      </c>
      <c r="AG113" s="91" t="e">
        <f t="shared" si="80"/>
        <v>#DIV/0!</v>
      </c>
      <c r="AH113" s="92">
        <f t="shared" si="81"/>
        <v>0</v>
      </c>
    </row>
    <row r="114" spans="1:34" ht="15" thickBot="1" x14ac:dyDescent="0.35">
      <c r="A114" s="224"/>
      <c r="B114" s="4"/>
      <c r="C114" s="4" t="str">
        <f t="shared" si="70"/>
        <v>Piatto spirale</v>
      </c>
      <c r="D114" s="5">
        <f t="shared" si="70"/>
        <v>4</v>
      </c>
      <c r="E114" s="5">
        <f t="shared" si="70"/>
        <v>5</v>
      </c>
      <c r="F114" s="5">
        <f t="shared" si="70"/>
        <v>0.25</v>
      </c>
      <c r="G114" s="5">
        <f t="shared" si="70"/>
        <v>25</v>
      </c>
      <c r="H114" s="4">
        <f t="shared" si="70"/>
        <v>1.575448E-4</v>
      </c>
      <c r="I114" s="6">
        <f t="shared" si="70"/>
        <v>0.43762444444444443</v>
      </c>
      <c r="J114" s="6">
        <f t="shared" si="70"/>
        <v>0.39386199999999999</v>
      </c>
      <c r="R114" s="23">
        <v>0</v>
      </c>
      <c r="S114" s="6">
        <f t="shared" si="68"/>
        <v>0</v>
      </c>
      <c r="T114" s="6">
        <f t="shared" si="71"/>
        <v>0</v>
      </c>
      <c r="U114" s="4">
        <f t="shared" si="72"/>
        <v>0</v>
      </c>
      <c r="V114" s="116">
        <f>+S114*$M$3/'COST DATA'!$D$26</f>
        <v>0</v>
      </c>
      <c r="W114" s="117">
        <f t="shared" si="82"/>
        <v>0</v>
      </c>
      <c r="X114" s="118">
        <f t="shared" si="74"/>
        <v>0</v>
      </c>
      <c r="Y114" s="118">
        <f t="shared" si="75"/>
        <v>0</v>
      </c>
      <c r="Z114" s="119">
        <f t="shared" si="76"/>
        <v>0</v>
      </c>
      <c r="AA114" s="85">
        <f>+'Finished goods'!$O$3*'PRIVATE CUSTOMER (BtoC)'!T114</f>
        <v>0</v>
      </c>
      <c r="AB114" s="85">
        <f>+'Finished goods'!$P$27*R114</f>
        <v>0</v>
      </c>
      <c r="AC114" s="86">
        <f t="shared" si="77"/>
        <v>0</v>
      </c>
      <c r="AD114" s="93" t="e">
        <f t="shared" si="78"/>
        <v>#DIV/0!</v>
      </c>
      <c r="AE114" s="93">
        <f>+'REVENUE DATA'!$D$27</f>
        <v>0</v>
      </c>
      <c r="AF114" s="90" t="e">
        <f t="shared" si="79"/>
        <v>#DIV/0!</v>
      </c>
      <c r="AG114" s="91" t="e">
        <f t="shared" si="80"/>
        <v>#DIV/0!</v>
      </c>
      <c r="AH114" s="92">
        <f t="shared" si="81"/>
        <v>0</v>
      </c>
    </row>
    <row r="117" spans="1:34" ht="18.600000000000001" thickBot="1" x14ac:dyDescent="0.4">
      <c r="D117" s="237" t="s">
        <v>40</v>
      </c>
      <c r="E117" s="237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10" t="s">
        <v>32</v>
      </c>
      <c r="S117" s="87">
        <f>+S119/60/7</f>
        <v>0</v>
      </c>
      <c r="T117" s="88" t="s">
        <v>83</v>
      </c>
    </row>
    <row r="118" spans="1:34" x14ac:dyDescent="0.3">
      <c r="D118" s="236" t="s">
        <v>33</v>
      </c>
      <c r="E118" s="236"/>
      <c r="F118" s="236"/>
      <c r="G118" s="236"/>
      <c r="H118" s="236"/>
      <c r="I118" s="236"/>
      <c r="J118" s="236"/>
      <c r="M118" s="236" t="s">
        <v>36</v>
      </c>
      <c r="N118" s="236"/>
      <c r="O118" s="236"/>
      <c r="P118" s="236"/>
      <c r="Q118" s="236"/>
      <c r="V118" s="238" t="s">
        <v>135</v>
      </c>
      <c r="W118" s="239"/>
      <c r="X118" s="239"/>
      <c r="Y118" s="239"/>
      <c r="Z118" s="239"/>
      <c r="AA118" s="239"/>
      <c r="AB118" s="239"/>
      <c r="AC118" s="240"/>
    </row>
    <row r="119" spans="1:34" ht="18" x14ac:dyDescent="0.35">
      <c r="F119" s="225" t="s">
        <v>44</v>
      </c>
      <c r="G119" s="225"/>
      <c r="I119" s="20">
        <f>SUBTOTAL(9,I121:I143)</f>
        <v>59.570075669444442</v>
      </c>
      <c r="J119" s="20">
        <f>SUBTOTAL(9,J121:J143)</f>
        <v>53.613068102499987</v>
      </c>
      <c r="K119" s="1">
        <f>+'Finished goods'!$I$3</f>
        <v>2500</v>
      </c>
      <c r="L119" s="1">
        <f>+'Finished goods'!$J$3</f>
        <v>0.9</v>
      </c>
      <c r="M119" s="15">
        <f>+'Finished goods'!$K$3</f>
        <v>0.50772709939119998</v>
      </c>
      <c r="N119" s="15">
        <f>+'Finished goods'!$L$3</f>
        <v>6.7889999999999999E-3</v>
      </c>
      <c r="O119" s="13">
        <f>+'Finished goods'!$M$3</f>
        <v>0.15750000000000003</v>
      </c>
      <c r="P119" s="46">
        <f>+'Finished goods'!$N$3</f>
        <v>5.8880308880308881E-2</v>
      </c>
      <c r="Q119" s="1"/>
      <c r="S119" s="17">
        <f>SUBTOTAL(9,S121:S143)</f>
        <v>0</v>
      </c>
      <c r="T119" s="17">
        <f>SUBTOTAL(9,T121:T143)</f>
        <v>0</v>
      </c>
      <c r="U119" s="75">
        <f>SUBTOTAL(9,U121:U143)</f>
        <v>0</v>
      </c>
      <c r="V119" s="77">
        <f t="shared" ref="V119:AC119" si="83">SUBTOTAL(9,V121:V143)</f>
        <v>0</v>
      </c>
      <c r="W119" s="17">
        <f t="shared" si="83"/>
        <v>0</v>
      </c>
      <c r="X119" s="17">
        <f t="shared" si="83"/>
        <v>0</v>
      </c>
      <c r="Y119" s="17">
        <f t="shared" si="83"/>
        <v>0</v>
      </c>
      <c r="Z119" s="17">
        <f t="shared" si="83"/>
        <v>0</v>
      </c>
      <c r="AA119" s="17">
        <f t="shared" si="83"/>
        <v>0</v>
      </c>
      <c r="AB119" s="17">
        <f t="shared" si="83"/>
        <v>0</v>
      </c>
      <c r="AC119" s="78">
        <f t="shared" si="83"/>
        <v>0</v>
      </c>
      <c r="AF119" s="225" t="s">
        <v>118</v>
      </c>
      <c r="AG119" s="225"/>
      <c r="AH119" s="108">
        <f t="shared" ref="AH119" si="84">SUBTOTAL(9,AH121:AH143)</f>
        <v>0</v>
      </c>
    </row>
    <row r="120" spans="1:34" x14ac:dyDescent="0.3">
      <c r="A120" s="1" t="s">
        <v>145</v>
      </c>
      <c r="B120" s="1" t="s">
        <v>30</v>
      </c>
      <c r="C120" s="1" t="s">
        <v>0</v>
      </c>
      <c r="D120" s="1" t="s">
        <v>4</v>
      </c>
      <c r="E120" s="1" t="s">
        <v>5</v>
      </c>
      <c r="F120" s="1" t="s">
        <v>45</v>
      </c>
      <c r="G120" s="1" t="s">
        <v>57</v>
      </c>
      <c r="H120" s="1" t="s">
        <v>6</v>
      </c>
      <c r="I120" s="1" t="s">
        <v>2</v>
      </c>
      <c r="J120" s="1" t="s">
        <v>7</v>
      </c>
      <c r="K120" s="1" t="s">
        <v>31</v>
      </c>
      <c r="L120" s="1" t="s">
        <v>8</v>
      </c>
      <c r="M120" s="1" t="s">
        <v>34</v>
      </c>
      <c r="N120" s="1" t="s">
        <v>35</v>
      </c>
      <c r="O120" s="1" t="s">
        <v>37</v>
      </c>
      <c r="P120" s="1" t="s">
        <v>93</v>
      </c>
      <c r="Q120" s="1" t="s">
        <v>94</v>
      </c>
      <c r="R120" s="11" t="s">
        <v>39</v>
      </c>
      <c r="S120" s="2" t="s">
        <v>43</v>
      </c>
      <c r="T120" s="2" t="s">
        <v>2</v>
      </c>
      <c r="U120" s="76" t="s">
        <v>7</v>
      </c>
      <c r="V120" s="79" t="str">
        <f>+V4</f>
        <v>energia €/h</v>
      </c>
      <c r="W120" s="79" t="str">
        <f t="shared" ref="W120:AB120" si="85">+W4</f>
        <v>materiale €/Kg</v>
      </c>
      <c r="X120" s="79" t="str">
        <f t="shared" si="85"/>
        <v>mod</v>
      </c>
      <c r="Y120" s="79" t="str">
        <f t="shared" si="85"/>
        <v>ammort</v>
      </c>
      <c r="Z120" s="79" t="str">
        <f t="shared" si="85"/>
        <v>Accensione</v>
      </c>
      <c r="AA120" s="79" t="str">
        <f t="shared" si="85"/>
        <v>trasporto</v>
      </c>
      <c r="AB120" s="79" t="str">
        <f t="shared" si="85"/>
        <v>forniture</v>
      </c>
      <c r="AC120" s="80" t="s">
        <v>42</v>
      </c>
      <c r="AD120" s="53" t="s">
        <v>116</v>
      </c>
      <c r="AE120" s="1" t="s">
        <v>117</v>
      </c>
      <c r="AF120" s="1" t="s">
        <v>119</v>
      </c>
      <c r="AG120" s="1" t="s">
        <v>120</v>
      </c>
      <c r="AH120" s="1" t="s">
        <v>121</v>
      </c>
    </row>
    <row r="121" spans="1:34" x14ac:dyDescent="0.3">
      <c r="A121" s="222" t="s">
        <v>415</v>
      </c>
      <c r="B121" s="4"/>
      <c r="C121" s="4" t="str">
        <f>+C92</f>
        <v>Tavolo twist Logo</v>
      </c>
      <c r="D121" s="5">
        <f>+D92</f>
        <v>8</v>
      </c>
      <c r="E121" s="5">
        <f t="shared" ref="E121:J121" si="86">+E92</f>
        <v>10</v>
      </c>
      <c r="F121" s="5">
        <f t="shared" si="86"/>
        <v>1.22</v>
      </c>
      <c r="G121" s="5">
        <f t="shared" si="86"/>
        <v>82</v>
      </c>
      <c r="H121" s="4">
        <f t="shared" si="86"/>
        <v>7.9769999999999997E-3</v>
      </c>
      <c r="I121" s="6">
        <f t="shared" si="86"/>
        <v>22.158333333333331</v>
      </c>
      <c r="J121" s="6">
        <f t="shared" si="86"/>
        <v>19.942499999999999</v>
      </c>
      <c r="R121" s="23">
        <v>0</v>
      </c>
      <c r="S121" s="6">
        <f t="shared" ref="S121:S143" si="87">+G121*$R121</f>
        <v>0</v>
      </c>
      <c r="T121" s="6">
        <f t="shared" ref="T121" si="88">+I121*$R121</f>
        <v>0</v>
      </c>
      <c r="U121" s="4">
        <f>+J121*$R121</f>
        <v>0</v>
      </c>
      <c r="V121" s="115">
        <f>+S121*$M$3/'COST DATA'!$D$26</f>
        <v>0</v>
      </c>
      <c r="W121" s="16">
        <f>+U121*$N$3</f>
        <v>0</v>
      </c>
      <c r="X121" s="27">
        <f>+S121*$O$3</f>
        <v>0</v>
      </c>
      <c r="Y121" s="27">
        <f>+S121*$P$3</f>
        <v>0</v>
      </c>
      <c r="Z121" s="4">
        <f>+(S121/$S$3)*($S$1)</f>
        <v>0</v>
      </c>
      <c r="AA121" s="82">
        <f>+'Finished goods'!$O$3*'PRIVATE CUSTOMER (BtoC)'!T121</f>
        <v>0</v>
      </c>
      <c r="AB121" s="82">
        <f>+'Finished goods'!$P$5*R121</f>
        <v>0</v>
      </c>
      <c r="AC121" s="83">
        <f>SUM(V121:AB121)</f>
        <v>0</v>
      </c>
      <c r="AD121" s="93" t="e">
        <f>+AC121/R121</f>
        <v>#DIV/0!</v>
      </c>
      <c r="AE121" s="93">
        <f>+'REVENUE DATA'!$D$5</f>
        <v>1200</v>
      </c>
      <c r="AF121" s="90" t="e">
        <f>+AE121-AD121</f>
        <v>#DIV/0!</v>
      </c>
      <c r="AG121" s="91" t="e">
        <f>+AF121/AD121</f>
        <v>#DIV/0!</v>
      </c>
      <c r="AH121" s="92">
        <f>+AE121*R121</f>
        <v>0</v>
      </c>
    </row>
    <row r="122" spans="1:34" x14ac:dyDescent="0.3">
      <c r="A122" s="223"/>
      <c r="B122" s="4"/>
      <c r="C122" s="4" t="str">
        <f t="shared" ref="C122:J143" si="89">+C93</f>
        <v xml:space="preserve">Vaso bitorzolo curvo </v>
      </c>
      <c r="D122" s="5">
        <f t="shared" si="89"/>
        <v>4</v>
      </c>
      <c r="E122" s="5">
        <f t="shared" si="89"/>
        <v>2</v>
      </c>
      <c r="F122" s="5">
        <f t="shared" si="89"/>
        <v>5.21</v>
      </c>
      <c r="G122" s="5">
        <f t="shared" si="89"/>
        <v>321</v>
      </c>
      <c r="H122" s="4">
        <f t="shared" si="89"/>
        <v>6.0029599999999995E-4</v>
      </c>
      <c r="I122" s="6">
        <f t="shared" si="89"/>
        <v>1.6674888888888888</v>
      </c>
      <c r="J122" s="6">
        <f t="shared" si="89"/>
        <v>1.50074</v>
      </c>
      <c r="R122" s="23">
        <v>0</v>
      </c>
      <c r="S122" s="6">
        <f t="shared" si="87"/>
        <v>0</v>
      </c>
      <c r="T122" s="6">
        <f t="shared" ref="T122:T143" si="90">+H122*$R122</f>
        <v>0</v>
      </c>
      <c r="U122" s="4">
        <f t="shared" ref="U122:U143" si="91">+J122*$R122</f>
        <v>0</v>
      </c>
      <c r="V122" s="115">
        <f>+S122*$M$3/'COST DATA'!$D$26</f>
        <v>0</v>
      </c>
      <c r="W122" s="16">
        <f t="shared" ref="W122:W132" si="92">+U122*$N$3</f>
        <v>0</v>
      </c>
      <c r="X122" s="27">
        <f t="shared" ref="X122:X143" si="93">+S122*$O$3</f>
        <v>0</v>
      </c>
      <c r="Y122" s="27">
        <f t="shared" ref="Y122:Y143" si="94">+S122*$P$3</f>
        <v>0</v>
      </c>
      <c r="Z122" s="4">
        <f t="shared" ref="Z122:Z143" si="95">+(S122/$S$3)*($S$1)</f>
        <v>0</v>
      </c>
      <c r="AA122" s="82">
        <f>+'Finished goods'!$O$3*'PRIVATE CUSTOMER (BtoC)'!T122</f>
        <v>0</v>
      </c>
      <c r="AB122" s="82">
        <f>+'Finished goods'!$P$6*R122</f>
        <v>0</v>
      </c>
      <c r="AC122" s="83">
        <f t="shared" ref="AC122:AC143" si="96">SUM(V122:AB122)</f>
        <v>0</v>
      </c>
      <c r="AD122" s="93" t="e">
        <f t="shared" ref="AD122:AD143" si="97">+AC122/R122</f>
        <v>#DIV/0!</v>
      </c>
      <c r="AE122" s="93">
        <f>+'REVENUE DATA'!$D$6</f>
        <v>350</v>
      </c>
      <c r="AF122" s="90" t="e">
        <f t="shared" ref="AF122:AF143" si="98">+AE122-AD122</f>
        <v>#DIV/0!</v>
      </c>
      <c r="AG122" s="91" t="e">
        <f t="shared" ref="AG122:AG143" si="99">+AF122/AD122</f>
        <v>#DIV/0!</v>
      </c>
      <c r="AH122" s="92">
        <f t="shared" ref="AH122:AH143" si="100">+AE122*R122</f>
        <v>0</v>
      </c>
    </row>
    <row r="123" spans="1:34" x14ac:dyDescent="0.3">
      <c r="A123" s="223"/>
      <c r="B123" s="4"/>
      <c r="C123" s="4" t="str">
        <f t="shared" si="89"/>
        <v>Vaso bitorzolo twist</v>
      </c>
      <c r="D123" s="5">
        <f t="shared" si="89"/>
        <v>4</v>
      </c>
      <c r="E123" s="5">
        <f t="shared" si="89"/>
        <v>2</v>
      </c>
      <c r="F123" s="5">
        <f t="shared" si="89"/>
        <v>5.15</v>
      </c>
      <c r="G123" s="5">
        <f t="shared" si="89"/>
        <v>315</v>
      </c>
      <c r="H123" s="4">
        <f t="shared" si="89"/>
        <v>8.005105E-4</v>
      </c>
      <c r="I123" s="6">
        <f t="shared" si="89"/>
        <v>2.2236402777777777</v>
      </c>
      <c r="J123" s="6">
        <f t="shared" si="89"/>
        <v>2.0012762500000001</v>
      </c>
      <c r="R123" s="23">
        <v>0</v>
      </c>
      <c r="S123" s="6">
        <f t="shared" si="87"/>
        <v>0</v>
      </c>
      <c r="T123" s="6">
        <f t="shared" si="90"/>
        <v>0</v>
      </c>
      <c r="U123" s="4">
        <f t="shared" si="91"/>
        <v>0</v>
      </c>
      <c r="V123" s="115">
        <f>+S123*$M$3/'COST DATA'!$D$26</f>
        <v>0</v>
      </c>
      <c r="W123" s="16">
        <f t="shared" si="92"/>
        <v>0</v>
      </c>
      <c r="X123" s="27">
        <f t="shared" si="93"/>
        <v>0</v>
      </c>
      <c r="Y123" s="27">
        <f t="shared" si="94"/>
        <v>0</v>
      </c>
      <c r="Z123" s="4">
        <f t="shared" si="95"/>
        <v>0</v>
      </c>
      <c r="AA123" s="82">
        <f>+'Finished goods'!$O$3*'PRIVATE CUSTOMER (BtoC)'!T123</f>
        <v>0</v>
      </c>
      <c r="AB123" s="82">
        <f>+'Finished goods'!$P$7*R123</f>
        <v>0</v>
      </c>
      <c r="AC123" s="83">
        <f t="shared" si="96"/>
        <v>0</v>
      </c>
      <c r="AD123" s="93" t="e">
        <f t="shared" si="97"/>
        <v>#DIV/0!</v>
      </c>
      <c r="AE123" s="93">
        <f>+'REVENUE DATA'!$D$7</f>
        <v>350</v>
      </c>
      <c r="AF123" s="90" t="e">
        <f t="shared" si="98"/>
        <v>#DIV/0!</v>
      </c>
      <c r="AG123" s="91" t="e">
        <f t="shared" si="99"/>
        <v>#DIV/0!</v>
      </c>
      <c r="AH123" s="92">
        <f t="shared" si="100"/>
        <v>0</v>
      </c>
    </row>
    <row r="124" spans="1:34" x14ac:dyDescent="0.3">
      <c r="A124" s="223"/>
      <c r="B124" s="4"/>
      <c r="C124" s="4" t="str">
        <f t="shared" si="89"/>
        <v>Vaso bitorzolo dritto</v>
      </c>
      <c r="D124" s="5">
        <f t="shared" si="89"/>
        <v>4</v>
      </c>
      <c r="E124" s="5">
        <f t="shared" si="89"/>
        <v>2</v>
      </c>
      <c r="F124" s="5">
        <f t="shared" si="89"/>
        <v>4.4800000000000004</v>
      </c>
      <c r="G124" s="5">
        <f t="shared" si="89"/>
        <v>288</v>
      </c>
      <c r="H124" s="4">
        <f t="shared" si="89"/>
        <v>8.2321687099999998E-4</v>
      </c>
      <c r="I124" s="6">
        <f t="shared" si="89"/>
        <v>2.2867135305555553</v>
      </c>
      <c r="J124" s="6">
        <f t="shared" si="89"/>
        <v>2.0580421775</v>
      </c>
      <c r="R124" s="23">
        <v>0</v>
      </c>
      <c r="S124" s="6">
        <f t="shared" si="87"/>
        <v>0</v>
      </c>
      <c r="T124" s="6">
        <f t="shared" si="90"/>
        <v>0</v>
      </c>
      <c r="U124" s="4">
        <f t="shared" si="91"/>
        <v>0</v>
      </c>
      <c r="V124" s="115">
        <f>+S124*$M$3/'COST DATA'!$D$26</f>
        <v>0</v>
      </c>
      <c r="W124" s="16">
        <f t="shared" si="92"/>
        <v>0</v>
      </c>
      <c r="X124" s="27">
        <f t="shared" si="93"/>
        <v>0</v>
      </c>
      <c r="Y124" s="27">
        <f t="shared" si="94"/>
        <v>0</v>
      </c>
      <c r="Z124" s="4">
        <f t="shared" si="95"/>
        <v>0</v>
      </c>
      <c r="AA124" s="82">
        <f>+'Finished goods'!$O$3*'PRIVATE CUSTOMER (BtoC)'!T124</f>
        <v>0</v>
      </c>
      <c r="AB124" s="82">
        <f>+'Finished goods'!$P$8*R124</f>
        <v>0</v>
      </c>
      <c r="AC124" s="83">
        <f t="shared" si="96"/>
        <v>0</v>
      </c>
      <c r="AD124" s="93" t="e">
        <f t="shared" si="97"/>
        <v>#DIV/0!</v>
      </c>
      <c r="AE124" s="93">
        <f>+'REVENUE DATA'!$D$8</f>
        <v>350</v>
      </c>
      <c r="AF124" s="90" t="e">
        <f t="shared" si="98"/>
        <v>#DIV/0!</v>
      </c>
      <c r="AG124" s="91" t="e">
        <f t="shared" si="99"/>
        <v>#DIV/0!</v>
      </c>
      <c r="AH124" s="92">
        <f t="shared" si="100"/>
        <v>0</v>
      </c>
    </row>
    <row r="125" spans="1:34" x14ac:dyDescent="0.3">
      <c r="A125" s="223"/>
      <c r="B125" s="4"/>
      <c r="C125" s="4" t="str">
        <f t="shared" si="89"/>
        <v>Porta riviste</v>
      </c>
      <c r="D125" s="5">
        <f t="shared" si="89"/>
        <v>10</v>
      </c>
      <c r="E125" s="5">
        <f t="shared" si="89"/>
        <v>10</v>
      </c>
      <c r="F125" s="5">
        <f t="shared" si="89"/>
        <v>0.42</v>
      </c>
      <c r="G125" s="5">
        <f t="shared" si="89"/>
        <v>42</v>
      </c>
      <c r="H125" s="4">
        <f t="shared" si="89"/>
        <v>3.5606798E-3</v>
      </c>
      <c r="I125" s="6">
        <f t="shared" si="89"/>
        <v>9.890777222222221</v>
      </c>
      <c r="J125" s="6">
        <f t="shared" si="89"/>
        <v>8.9016994999999994</v>
      </c>
      <c r="R125" s="23">
        <v>0</v>
      </c>
      <c r="S125" s="6">
        <f t="shared" si="87"/>
        <v>0</v>
      </c>
      <c r="T125" s="6">
        <f t="shared" si="90"/>
        <v>0</v>
      </c>
      <c r="U125" s="4">
        <f t="shared" si="91"/>
        <v>0</v>
      </c>
      <c r="V125" s="115">
        <f>+S125*$M$3/'COST DATA'!$D$26</f>
        <v>0</v>
      </c>
      <c r="W125" s="16">
        <f t="shared" si="92"/>
        <v>0</v>
      </c>
      <c r="X125" s="27">
        <f t="shared" si="93"/>
        <v>0</v>
      </c>
      <c r="Y125" s="27">
        <f t="shared" si="94"/>
        <v>0</v>
      </c>
      <c r="Z125" s="4">
        <f t="shared" si="95"/>
        <v>0</v>
      </c>
      <c r="AA125" s="82">
        <f>+'Finished goods'!$O$3*'PRIVATE CUSTOMER (BtoC)'!T125</f>
        <v>0</v>
      </c>
      <c r="AB125" s="82">
        <f>+'Finished goods'!$P$9*R125</f>
        <v>0</v>
      </c>
      <c r="AC125" s="83">
        <f t="shared" si="96"/>
        <v>0</v>
      </c>
      <c r="AD125" s="93" t="e">
        <f t="shared" si="97"/>
        <v>#DIV/0!</v>
      </c>
      <c r="AE125" s="93">
        <f>+'REVENUE DATA'!$D$9</f>
        <v>180</v>
      </c>
      <c r="AF125" s="90" t="e">
        <f t="shared" si="98"/>
        <v>#DIV/0!</v>
      </c>
      <c r="AG125" s="91" t="e">
        <f t="shared" si="99"/>
        <v>#DIV/0!</v>
      </c>
      <c r="AH125" s="92">
        <f t="shared" si="100"/>
        <v>0</v>
      </c>
    </row>
    <row r="126" spans="1:34" x14ac:dyDescent="0.3">
      <c r="A126" s="223"/>
      <c r="B126" s="4"/>
      <c r="C126" s="4" t="str">
        <f t="shared" si="89"/>
        <v>Lampada 90 grossa</v>
      </c>
      <c r="D126" s="5">
        <f t="shared" si="89"/>
        <v>8</v>
      </c>
      <c r="E126" s="5">
        <f t="shared" si="89"/>
        <v>10</v>
      </c>
      <c r="F126" s="5">
        <f t="shared" si="89"/>
        <v>1.39</v>
      </c>
      <c r="G126" s="5">
        <f t="shared" si="89"/>
        <v>99</v>
      </c>
      <c r="H126" s="4">
        <f t="shared" si="89"/>
        <v>1.7366300000000001E-3</v>
      </c>
      <c r="I126" s="6">
        <f t="shared" si="89"/>
        <v>4.8239722222222232</v>
      </c>
      <c r="J126" s="6">
        <f t="shared" si="89"/>
        <v>4.3415750000000006</v>
      </c>
      <c r="R126" s="23">
        <v>0</v>
      </c>
      <c r="S126" s="6">
        <f t="shared" si="87"/>
        <v>0</v>
      </c>
      <c r="T126" s="6">
        <f t="shared" si="90"/>
        <v>0</v>
      </c>
      <c r="U126" s="4">
        <f t="shared" si="91"/>
        <v>0</v>
      </c>
      <c r="V126" s="115">
        <f>+S126*$M$3/'COST DATA'!$D$26</f>
        <v>0</v>
      </c>
      <c r="W126" s="16">
        <f t="shared" si="92"/>
        <v>0</v>
      </c>
      <c r="X126" s="27">
        <f t="shared" si="93"/>
        <v>0</v>
      </c>
      <c r="Y126" s="27">
        <f t="shared" si="94"/>
        <v>0</v>
      </c>
      <c r="Z126" s="4">
        <f t="shared" si="95"/>
        <v>0</v>
      </c>
      <c r="AA126" s="82">
        <f>+'Finished goods'!$O$3*'PRIVATE CUSTOMER (BtoC)'!T126</f>
        <v>0</v>
      </c>
      <c r="AB126" s="82">
        <f>+'Finished goods'!$P$10*R126</f>
        <v>0</v>
      </c>
      <c r="AC126" s="83">
        <f t="shared" si="96"/>
        <v>0</v>
      </c>
      <c r="AD126" s="93" t="e">
        <f t="shared" si="97"/>
        <v>#DIV/0!</v>
      </c>
      <c r="AE126" s="93">
        <f>+'REVENUE DATA'!$D$10</f>
        <v>450</v>
      </c>
      <c r="AF126" s="90" t="e">
        <f t="shared" si="98"/>
        <v>#DIV/0!</v>
      </c>
      <c r="AG126" s="91" t="e">
        <f t="shared" si="99"/>
        <v>#DIV/0!</v>
      </c>
      <c r="AH126" s="92">
        <f t="shared" si="100"/>
        <v>0</v>
      </c>
    </row>
    <row r="127" spans="1:34" x14ac:dyDescent="0.3">
      <c r="A127" s="223"/>
      <c r="B127" s="4"/>
      <c r="C127" s="4" t="str">
        <f t="shared" si="89"/>
        <v>Lampada 90 piccola</v>
      </c>
      <c r="D127" s="5">
        <f t="shared" si="89"/>
        <v>5</v>
      </c>
      <c r="E127" s="5">
        <f t="shared" si="89"/>
        <v>10</v>
      </c>
      <c r="F127" s="5">
        <f t="shared" si="89"/>
        <v>1.1499999999999999</v>
      </c>
      <c r="G127" s="5">
        <f t="shared" si="89"/>
        <v>75</v>
      </c>
      <c r="H127" s="4">
        <f t="shared" si="89"/>
        <v>8.1557296000000004E-4</v>
      </c>
      <c r="I127" s="6">
        <f t="shared" si="89"/>
        <v>2.2654804444444445</v>
      </c>
      <c r="J127" s="6">
        <f t="shared" si="89"/>
        <v>2.0389324000000002</v>
      </c>
      <c r="R127" s="23">
        <v>0</v>
      </c>
      <c r="S127" s="6">
        <f t="shared" si="87"/>
        <v>0</v>
      </c>
      <c r="T127" s="6">
        <f t="shared" si="90"/>
        <v>0</v>
      </c>
      <c r="U127" s="4">
        <f t="shared" si="91"/>
        <v>0</v>
      </c>
      <c r="V127" s="115">
        <f>+S127*$M$3/'COST DATA'!$D$26</f>
        <v>0</v>
      </c>
      <c r="W127" s="16">
        <f t="shared" si="92"/>
        <v>0</v>
      </c>
      <c r="X127" s="27">
        <f t="shared" si="93"/>
        <v>0</v>
      </c>
      <c r="Y127" s="27">
        <f t="shared" si="94"/>
        <v>0</v>
      </c>
      <c r="Z127" s="4">
        <f t="shared" si="95"/>
        <v>0</v>
      </c>
      <c r="AA127" s="82">
        <f>+'Finished goods'!$O$3*'PRIVATE CUSTOMER (BtoC)'!T127</f>
        <v>0</v>
      </c>
      <c r="AB127" s="82">
        <f>+'Finished goods'!$P$11*R127</f>
        <v>0</v>
      </c>
      <c r="AC127" s="83">
        <f t="shared" si="96"/>
        <v>0</v>
      </c>
      <c r="AD127" s="93" t="e">
        <f t="shared" si="97"/>
        <v>#DIV/0!</v>
      </c>
      <c r="AE127" s="93">
        <f>+'REVENUE DATA'!$D$11</f>
        <v>200</v>
      </c>
      <c r="AF127" s="90" t="e">
        <f t="shared" si="98"/>
        <v>#DIV/0!</v>
      </c>
      <c r="AG127" s="91" t="e">
        <f t="shared" si="99"/>
        <v>#DIV/0!</v>
      </c>
      <c r="AH127" s="92">
        <f t="shared" si="100"/>
        <v>0</v>
      </c>
    </row>
    <row r="128" spans="1:34" x14ac:dyDescent="0.3">
      <c r="A128" s="223"/>
      <c r="B128" s="4"/>
      <c r="C128" s="4" t="str">
        <f t="shared" si="89"/>
        <v>Vaso Logo</v>
      </c>
      <c r="D128" s="5">
        <f t="shared" si="89"/>
        <v>5</v>
      </c>
      <c r="E128" s="5">
        <f t="shared" si="89"/>
        <v>10</v>
      </c>
      <c r="F128" s="5">
        <f t="shared" si="89"/>
        <v>0.39</v>
      </c>
      <c r="G128" s="5">
        <f t="shared" si="89"/>
        <v>39</v>
      </c>
      <c r="H128" s="4">
        <f t="shared" si="89"/>
        <v>1.1639584900000001E-3</v>
      </c>
      <c r="I128" s="6">
        <f t="shared" si="89"/>
        <v>3.2332180277777778</v>
      </c>
      <c r="J128" s="6">
        <f t="shared" si="89"/>
        <v>2.9098962250000002</v>
      </c>
      <c r="R128" s="23">
        <v>0</v>
      </c>
      <c r="S128" s="6">
        <f t="shared" si="87"/>
        <v>0</v>
      </c>
      <c r="T128" s="6">
        <f t="shared" si="90"/>
        <v>0</v>
      </c>
      <c r="U128" s="4">
        <f t="shared" si="91"/>
        <v>0</v>
      </c>
      <c r="V128" s="115">
        <f>+S128*$M$3/'COST DATA'!$D$26</f>
        <v>0</v>
      </c>
      <c r="W128" s="16">
        <f t="shared" si="92"/>
        <v>0</v>
      </c>
      <c r="X128" s="27">
        <f t="shared" si="93"/>
        <v>0</v>
      </c>
      <c r="Y128" s="27">
        <f t="shared" si="94"/>
        <v>0</v>
      </c>
      <c r="Z128" s="4">
        <f t="shared" si="95"/>
        <v>0</v>
      </c>
      <c r="AA128" s="82">
        <f>+'Finished goods'!$O$3*'PRIVATE CUSTOMER (BtoC)'!T128</f>
        <v>0</v>
      </c>
      <c r="AB128" s="82">
        <f>+'Finished goods'!$P$12*R128</f>
        <v>0</v>
      </c>
      <c r="AC128" s="83">
        <f t="shared" si="96"/>
        <v>0</v>
      </c>
      <c r="AD128" s="93" t="e">
        <f t="shared" si="97"/>
        <v>#DIV/0!</v>
      </c>
      <c r="AE128" s="93">
        <f>+'REVENUE DATA'!$D$12</f>
        <v>350</v>
      </c>
      <c r="AF128" s="90" t="e">
        <f t="shared" si="98"/>
        <v>#DIV/0!</v>
      </c>
      <c r="AG128" s="91" t="e">
        <f t="shared" si="99"/>
        <v>#DIV/0!</v>
      </c>
      <c r="AH128" s="92">
        <f t="shared" si="100"/>
        <v>0</v>
      </c>
    </row>
    <row r="129" spans="1:34" x14ac:dyDescent="0.3">
      <c r="A129" s="223"/>
      <c r="B129" s="4"/>
      <c r="C129" s="4" t="str">
        <f t="shared" si="89"/>
        <v>Copri candela</v>
      </c>
      <c r="D129" s="5">
        <f t="shared" si="89"/>
        <v>4</v>
      </c>
      <c r="E129" s="5">
        <f t="shared" si="89"/>
        <v>5</v>
      </c>
      <c r="F129" s="5">
        <f t="shared" si="89"/>
        <v>0.34</v>
      </c>
      <c r="G129" s="5">
        <f t="shared" si="89"/>
        <v>34</v>
      </c>
      <c r="H129" s="4">
        <f t="shared" si="89"/>
        <v>2.3780405299999999E-4</v>
      </c>
      <c r="I129" s="6">
        <f t="shared" si="89"/>
        <v>0.66056681388888883</v>
      </c>
      <c r="J129" s="6">
        <f t="shared" si="89"/>
        <v>0.59451013249999995</v>
      </c>
      <c r="R129" s="23">
        <v>0</v>
      </c>
      <c r="S129" s="6">
        <f t="shared" si="87"/>
        <v>0</v>
      </c>
      <c r="T129" s="6">
        <f t="shared" si="90"/>
        <v>0</v>
      </c>
      <c r="U129" s="4">
        <f t="shared" si="91"/>
        <v>0</v>
      </c>
      <c r="V129" s="115">
        <f>+S129*$M$3/'COST DATA'!$D$26</f>
        <v>0</v>
      </c>
      <c r="W129" s="16">
        <f t="shared" si="92"/>
        <v>0</v>
      </c>
      <c r="X129" s="27">
        <f t="shared" si="93"/>
        <v>0</v>
      </c>
      <c r="Y129" s="27">
        <f t="shared" si="94"/>
        <v>0</v>
      </c>
      <c r="Z129" s="4">
        <f t="shared" si="95"/>
        <v>0</v>
      </c>
      <c r="AA129" s="82">
        <f>+'Finished goods'!$O$3*'PRIVATE CUSTOMER (BtoC)'!T129</f>
        <v>0</v>
      </c>
      <c r="AB129" s="82">
        <f>+'Finished goods'!$P$13*R129</f>
        <v>0</v>
      </c>
      <c r="AC129" s="83">
        <f t="shared" si="96"/>
        <v>0</v>
      </c>
      <c r="AD129" s="93" t="e">
        <f t="shared" si="97"/>
        <v>#DIV/0!</v>
      </c>
      <c r="AE129" s="93">
        <f>+'REVENUE DATA'!$D$13</f>
        <v>75</v>
      </c>
      <c r="AF129" s="90" t="e">
        <f t="shared" si="98"/>
        <v>#DIV/0!</v>
      </c>
      <c r="AG129" s="91" t="e">
        <f t="shared" si="99"/>
        <v>#DIV/0!</v>
      </c>
      <c r="AH129" s="92">
        <f t="shared" si="100"/>
        <v>0</v>
      </c>
    </row>
    <row r="130" spans="1:34" x14ac:dyDescent="0.3">
      <c r="A130" s="223"/>
      <c r="B130" s="4"/>
      <c r="C130" s="4" t="str">
        <f t="shared" si="89"/>
        <v xml:space="preserve">Vaso Grosso </v>
      </c>
      <c r="D130" s="5">
        <f t="shared" si="89"/>
        <v>4</v>
      </c>
      <c r="E130" s="5">
        <f t="shared" si="89"/>
        <v>5</v>
      </c>
      <c r="F130" s="5">
        <f t="shared" si="89"/>
        <v>1.31</v>
      </c>
      <c r="G130" s="5">
        <f t="shared" si="89"/>
        <v>91</v>
      </c>
      <c r="H130" s="4">
        <f t="shared" si="89"/>
        <v>9.52764444E-4</v>
      </c>
      <c r="I130" s="6">
        <f t="shared" si="89"/>
        <v>2.6465679</v>
      </c>
      <c r="J130" s="6">
        <f t="shared" si="89"/>
        <v>2.3819111099999999</v>
      </c>
      <c r="R130" s="23">
        <v>0</v>
      </c>
      <c r="S130" s="6">
        <f t="shared" si="87"/>
        <v>0</v>
      </c>
      <c r="T130" s="6">
        <f t="shared" si="90"/>
        <v>0</v>
      </c>
      <c r="U130" s="4">
        <f t="shared" si="91"/>
        <v>0</v>
      </c>
      <c r="V130" s="115">
        <f>+S130*$M$3/'COST DATA'!$D$26</f>
        <v>0</v>
      </c>
      <c r="W130" s="16">
        <f t="shared" si="92"/>
        <v>0</v>
      </c>
      <c r="X130" s="27">
        <f t="shared" si="93"/>
        <v>0</v>
      </c>
      <c r="Y130" s="27">
        <f t="shared" si="94"/>
        <v>0</v>
      </c>
      <c r="Z130" s="4">
        <f t="shared" si="95"/>
        <v>0</v>
      </c>
      <c r="AA130" s="82">
        <f>+'Finished goods'!$O$3*'PRIVATE CUSTOMER (BtoC)'!T130</f>
        <v>0</v>
      </c>
      <c r="AB130" s="82">
        <f>+'Finished goods'!$P$14*R130</f>
        <v>0</v>
      </c>
      <c r="AC130" s="83">
        <f t="shared" si="96"/>
        <v>0</v>
      </c>
      <c r="AD130" s="93" t="e">
        <f t="shared" si="97"/>
        <v>#DIV/0!</v>
      </c>
      <c r="AE130" s="93">
        <f>+'REVENUE DATA'!$D$14</f>
        <v>250</v>
      </c>
      <c r="AF130" s="90" t="e">
        <f t="shared" si="98"/>
        <v>#DIV/0!</v>
      </c>
      <c r="AG130" s="91" t="e">
        <f t="shared" si="99"/>
        <v>#DIV/0!</v>
      </c>
      <c r="AH130" s="92">
        <f t="shared" si="100"/>
        <v>0</v>
      </c>
    </row>
    <row r="131" spans="1:34" x14ac:dyDescent="0.3">
      <c r="A131" s="223"/>
      <c r="B131" s="4"/>
      <c r="C131" s="4" t="str">
        <f t="shared" si="89"/>
        <v>Bicchiere curve dritto</v>
      </c>
      <c r="D131" s="5">
        <f t="shared" si="89"/>
        <v>2</v>
      </c>
      <c r="E131" s="5">
        <f t="shared" si="89"/>
        <v>2</v>
      </c>
      <c r="F131" s="5">
        <f t="shared" si="89"/>
        <v>0.26</v>
      </c>
      <c r="G131" s="5">
        <f t="shared" si="89"/>
        <v>26</v>
      </c>
      <c r="H131" s="4">
        <f t="shared" si="89"/>
        <v>1.6928511099999999E-4</v>
      </c>
      <c r="I131" s="6">
        <f t="shared" si="89"/>
        <v>0.47023641944444439</v>
      </c>
      <c r="J131" s="6">
        <f t="shared" si="89"/>
        <v>0.42321277749999997</v>
      </c>
      <c r="R131" s="23">
        <v>0</v>
      </c>
      <c r="S131" s="6">
        <f t="shared" si="87"/>
        <v>0</v>
      </c>
      <c r="T131" s="6">
        <f t="shared" si="90"/>
        <v>0</v>
      </c>
      <c r="U131" s="4">
        <f t="shared" si="91"/>
        <v>0</v>
      </c>
      <c r="V131" s="115">
        <f>+S131*$M$3/'COST DATA'!$D$26</f>
        <v>0</v>
      </c>
      <c r="W131" s="16">
        <f t="shared" si="92"/>
        <v>0</v>
      </c>
      <c r="X131" s="27">
        <f t="shared" si="93"/>
        <v>0</v>
      </c>
      <c r="Y131" s="27">
        <f t="shared" si="94"/>
        <v>0</v>
      </c>
      <c r="Z131" s="4">
        <f t="shared" si="95"/>
        <v>0</v>
      </c>
      <c r="AA131" s="82">
        <f>+'Finished goods'!$O$3*'PRIVATE CUSTOMER (BtoC)'!T131</f>
        <v>0</v>
      </c>
      <c r="AB131" s="82">
        <f>+'Finished goods'!$P$15*R131</f>
        <v>0</v>
      </c>
      <c r="AC131" s="83">
        <f t="shared" si="96"/>
        <v>0</v>
      </c>
      <c r="AD131" s="93" t="e">
        <f t="shared" si="97"/>
        <v>#DIV/0!</v>
      </c>
      <c r="AE131" s="93">
        <f>+'REVENUE DATA'!$D$15</f>
        <v>0</v>
      </c>
      <c r="AF131" s="90" t="e">
        <f t="shared" si="98"/>
        <v>#DIV/0!</v>
      </c>
      <c r="AG131" s="91" t="e">
        <f t="shared" si="99"/>
        <v>#DIV/0!</v>
      </c>
      <c r="AH131" s="92">
        <f t="shared" si="100"/>
        <v>0</v>
      </c>
    </row>
    <row r="132" spans="1:34" x14ac:dyDescent="0.3">
      <c r="A132" s="223"/>
      <c r="B132" s="4"/>
      <c r="C132" s="4" t="str">
        <f t="shared" si="89"/>
        <v>Bicchiere curve twist</v>
      </c>
      <c r="D132" s="5">
        <f t="shared" si="89"/>
        <v>2</v>
      </c>
      <c r="E132" s="5">
        <f t="shared" si="89"/>
        <v>2</v>
      </c>
      <c r="F132" s="5">
        <f t="shared" si="89"/>
        <v>0.25</v>
      </c>
      <c r="G132" s="5">
        <f t="shared" si="89"/>
        <v>25</v>
      </c>
      <c r="H132" s="4">
        <f t="shared" si="89"/>
        <v>1.69285896E-4</v>
      </c>
      <c r="I132" s="6">
        <f t="shared" si="89"/>
        <v>0.47023859999999995</v>
      </c>
      <c r="J132" s="6">
        <f t="shared" si="89"/>
        <v>0.42321473999999998</v>
      </c>
      <c r="R132" s="23">
        <v>0</v>
      </c>
      <c r="S132" s="6">
        <f t="shared" si="87"/>
        <v>0</v>
      </c>
      <c r="T132" s="6">
        <f t="shared" si="90"/>
        <v>0</v>
      </c>
      <c r="U132" s="4">
        <f t="shared" si="91"/>
        <v>0</v>
      </c>
      <c r="V132" s="115">
        <f>+S132*$M$3/'COST DATA'!$D$26</f>
        <v>0</v>
      </c>
      <c r="W132" s="16">
        <f t="shared" si="92"/>
        <v>0</v>
      </c>
      <c r="X132" s="27">
        <f t="shared" si="93"/>
        <v>0</v>
      </c>
      <c r="Y132" s="27">
        <f t="shared" si="94"/>
        <v>0</v>
      </c>
      <c r="Z132" s="4">
        <f t="shared" si="95"/>
        <v>0</v>
      </c>
      <c r="AA132" s="82">
        <f>+'Finished goods'!$O$3*'PRIVATE CUSTOMER (BtoC)'!T132</f>
        <v>0</v>
      </c>
      <c r="AB132" s="82">
        <f>+'Finished goods'!$P$16*R132</f>
        <v>0</v>
      </c>
      <c r="AC132" s="83">
        <f t="shared" si="96"/>
        <v>0</v>
      </c>
      <c r="AD132" s="93" t="e">
        <f t="shared" si="97"/>
        <v>#DIV/0!</v>
      </c>
      <c r="AE132" s="93">
        <f>+'REVENUE DATA'!$D$16</f>
        <v>0</v>
      </c>
      <c r="AF132" s="90" t="e">
        <f t="shared" si="98"/>
        <v>#DIV/0!</v>
      </c>
      <c r="AG132" s="91" t="e">
        <f t="shared" si="99"/>
        <v>#DIV/0!</v>
      </c>
      <c r="AH132" s="92">
        <f t="shared" si="100"/>
        <v>0</v>
      </c>
    </row>
    <row r="133" spans="1:34" x14ac:dyDescent="0.3">
      <c r="A133" s="223"/>
      <c r="B133" s="4"/>
      <c r="C133" s="4" t="str">
        <f t="shared" si="89"/>
        <v>Caraffa curva</v>
      </c>
      <c r="D133" s="5">
        <f t="shared" si="89"/>
        <v>2</v>
      </c>
      <c r="E133" s="5">
        <f t="shared" si="89"/>
        <v>2</v>
      </c>
      <c r="F133" s="5">
        <f t="shared" si="89"/>
        <v>0.56999999999999995</v>
      </c>
      <c r="G133" s="5">
        <f t="shared" si="89"/>
        <v>57</v>
      </c>
      <c r="H133" s="4">
        <f t="shared" si="89"/>
        <v>3.69342133E-4</v>
      </c>
      <c r="I133" s="6">
        <f t="shared" si="89"/>
        <v>1.0259503694444445</v>
      </c>
      <c r="J133" s="6">
        <f t="shared" si="89"/>
        <v>0.92335533250000001</v>
      </c>
      <c r="R133" s="23">
        <v>0</v>
      </c>
      <c r="S133" s="6">
        <f t="shared" si="87"/>
        <v>0</v>
      </c>
      <c r="T133" s="6">
        <f t="shared" si="90"/>
        <v>0</v>
      </c>
      <c r="U133" s="4">
        <f t="shared" si="91"/>
        <v>0</v>
      </c>
      <c r="V133" s="115">
        <f>+S133*$M$3/'COST DATA'!$D$26</f>
        <v>0</v>
      </c>
      <c r="W133" s="16">
        <f>+U133*$N$3</f>
        <v>0</v>
      </c>
      <c r="X133" s="27">
        <f t="shared" si="93"/>
        <v>0</v>
      </c>
      <c r="Y133" s="27">
        <f t="shared" si="94"/>
        <v>0</v>
      </c>
      <c r="Z133" s="4">
        <f t="shared" si="95"/>
        <v>0</v>
      </c>
      <c r="AA133" s="82">
        <f>+'Finished goods'!$O$3*'PRIVATE CUSTOMER (BtoC)'!T133</f>
        <v>0</v>
      </c>
      <c r="AB133" s="82">
        <f>+'Finished goods'!$P$17*R133</f>
        <v>0</v>
      </c>
      <c r="AC133" s="83">
        <f t="shared" si="96"/>
        <v>0</v>
      </c>
      <c r="AD133" s="93" t="e">
        <f t="shared" si="97"/>
        <v>#DIV/0!</v>
      </c>
      <c r="AE133" s="93">
        <f>+'REVENUE DATA'!$D$17</f>
        <v>30</v>
      </c>
      <c r="AF133" s="90" t="e">
        <f t="shared" si="98"/>
        <v>#DIV/0!</v>
      </c>
      <c r="AG133" s="91" t="e">
        <f t="shared" si="99"/>
        <v>#DIV/0!</v>
      </c>
      <c r="AH133" s="92">
        <f t="shared" si="100"/>
        <v>0</v>
      </c>
    </row>
    <row r="134" spans="1:34" x14ac:dyDescent="0.3">
      <c r="A134" s="223"/>
      <c r="B134" s="4"/>
      <c r="C134" s="4" t="str">
        <f t="shared" si="89"/>
        <v>Caraffa colonna dritta</v>
      </c>
      <c r="D134" s="5">
        <f t="shared" si="89"/>
        <v>2</v>
      </c>
      <c r="E134" s="5">
        <f t="shared" si="89"/>
        <v>1</v>
      </c>
      <c r="F134" s="5">
        <f t="shared" si="89"/>
        <v>1.4</v>
      </c>
      <c r="G134" s="5">
        <f t="shared" si="89"/>
        <v>100</v>
      </c>
      <c r="H134" s="4">
        <f t="shared" si="89"/>
        <v>3.2796365999999998E-4</v>
      </c>
      <c r="I134" s="6">
        <f t="shared" si="89"/>
        <v>0.91101016666666657</v>
      </c>
      <c r="J134" s="6">
        <f t="shared" si="89"/>
        <v>0.81990914999999998</v>
      </c>
      <c r="R134" s="23">
        <v>0</v>
      </c>
      <c r="S134" s="6">
        <f t="shared" si="87"/>
        <v>0</v>
      </c>
      <c r="T134" s="6">
        <f t="shared" si="90"/>
        <v>0</v>
      </c>
      <c r="U134" s="4">
        <f t="shared" si="91"/>
        <v>0</v>
      </c>
      <c r="V134" s="115">
        <f>+S134*$M$3/'COST DATA'!$D$26</f>
        <v>0</v>
      </c>
      <c r="W134" s="16">
        <f t="shared" ref="W134:W143" si="101">+U134*$N$3</f>
        <v>0</v>
      </c>
      <c r="X134" s="27">
        <f t="shared" si="93"/>
        <v>0</v>
      </c>
      <c r="Y134" s="27">
        <f t="shared" si="94"/>
        <v>0</v>
      </c>
      <c r="Z134" s="4">
        <f t="shared" si="95"/>
        <v>0</v>
      </c>
      <c r="AA134" s="82">
        <f>+'Finished goods'!$O$3*'PRIVATE CUSTOMER (BtoC)'!T134</f>
        <v>0</v>
      </c>
      <c r="AB134" s="82">
        <f>+'Finished goods'!$P$18*R134</f>
        <v>0</v>
      </c>
      <c r="AC134" s="83">
        <f t="shared" si="96"/>
        <v>0</v>
      </c>
      <c r="AD134" s="93" t="e">
        <f t="shared" si="97"/>
        <v>#DIV/0!</v>
      </c>
      <c r="AE134" s="93">
        <f>+'REVENUE DATA'!$D$18</f>
        <v>30</v>
      </c>
      <c r="AF134" s="90" t="e">
        <f t="shared" si="98"/>
        <v>#DIV/0!</v>
      </c>
      <c r="AG134" s="91" t="e">
        <f t="shared" si="99"/>
        <v>#DIV/0!</v>
      </c>
      <c r="AH134" s="92">
        <f t="shared" si="100"/>
        <v>0</v>
      </c>
    </row>
    <row r="135" spans="1:34" x14ac:dyDescent="0.3">
      <c r="A135" s="223"/>
      <c r="B135" s="4"/>
      <c r="C135" s="4" t="str">
        <f t="shared" si="89"/>
        <v>Caraffa colonna twist1</v>
      </c>
      <c r="D135" s="5">
        <f t="shared" si="89"/>
        <v>2</v>
      </c>
      <c r="E135" s="5">
        <f t="shared" si="89"/>
        <v>1</v>
      </c>
      <c r="F135" s="5">
        <f t="shared" si="89"/>
        <v>1.41</v>
      </c>
      <c r="G135" s="5">
        <f t="shared" si="89"/>
        <v>101</v>
      </c>
      <c r="H135" s="4">
        <f t="shared" si="89"/>
        <v>3.323221E-4</v>
      </c>
      <c r="I135" s="6">
        <f t="shared" si="89"/>
        <v>0.92311694444444448</v>
      </c>
      <c r="J135" s="6">
        <f t="shared" si="89"/>
        <v>0.83080525000000005</v>
      </c>
      <c r="R135" s="23">
        <v>0</v>
      </c>
      <c r="S135" s="6">
        <f t="shared" si="87"/>
        <v>0</v>
      </c>
      <c r="T135" s="6">
        <f t="shared" si="90"/>
        <v>0</v>
      </c>
      <c r="U135" s="4">
        <f t="shared" si="91"/>
        <v>0</v>
      </c>
      <c r="V135" s="115">
        <f>+S135*$M$3/'COST DATA'!$D$26</f>
        <v>0</v>
      </c>
      <c r="W135" s="16">
        <f t="shared" si="101"/>
        <v>0</v>
      </c>
      <c r="X135" s="27">
        <f t="shared" si="93"/>
        <v>0</v>
      </c>
      <c r="Y135" s="27">
        <f t="shared" si="94"/>
        <v>0</v>
      </c>
      <c r="Z135" s="4">
        <f t="shared" si="95"/>
        <v>0</v>
      </c>
      <c r="AA135" s="82">
        <f>+'Finished goods'!$O$3*'PRIVATE CUSTOMER (BtoC)'!T135</f>
        <v>0</v>
      </c>
      <c r="AB135" s="82">
        <f>+'Finished goods'!$P$19*R135</f>
        <v>0</v>
      </c>
      <c r="AC135" s="83">
        <f t="shared" si="96"/>
        <v>0</v>
      </c>
      <c r="AD135" s="93" t="e">
        <f t="shared" si="97"/>
        <v>#DIV/0!</v>
      </c>
      <c r="AE135" s="93">
        <f>+'REVENUE DATA'!$D$19</f>
        <v>30</v>
      </c>
      <c r="AF135" s="90" t="e">
        <f t="shared" si="98"/>
        <v>#DIV/0!</v>
      </c>
      <c r="AG135" s="91" t="e">
        <f t="shared" si="99"/>
        <v>#DIV/0!</v>
      </c>
      <c r="AH135" s="92">
        <f t="shared" si="100"/>
        <v>0</v>
      </c>
    </row>
    <row r="136" spans="1:34" x14ac:dyDescent="0.3">
      <c r="A136" s="223"/>
      <c r="B136" s="4"/>
      <c r="C136" s="4" t="str">
        <f t="shared" si="89"/>
        <v>Caraffa colonna twist2</v>
      </c>
      <c r="D136" s="5">
        <f t="shared" si="89"/>
        <v>2</v>
      </c>
      <c r="E136" s="5">
        <f t="shared" si="89"/>
        <v>1</v>
      </c>
      <c r="F136" s="5">
        <f t="shared" si="89"/>
        <v>1.45</v>
      </c>
      <c r="G136" s="5">
        <f t="shared" si="89"/>
        <v>105</v>
      </c>
      <c r="H136" s="4">
        <f t="shared" si="89"/>
        <v>3.4271101000000001E-4</v>
      </c>
      <c r="I136" s="6">
        <f t="shared" si="89"/>
        <v>0.95197502777777776</v>
      </c>
      <c r="J136" s="6">
        <f t="shared" si="89"/>
        <v>0.85677752500000004</v>
      </c>
      <c r="R136" s="23">
        <v>0</v>
      </c>
      <c r="S136" s="6">
        <f t="shared" si="87"/>
        <v>0</v>
      </c>
      <c r="T136" s="6">
        <f t="shared" si="90"/>
        <v>0</v>
      </c>
      <c r="U136" s="4">
        <f t="shared" si="91"/>
        <v>0</v>
      </c>
      <c r="V136" s="115">
        <f>+S136*$M$3/'COST DATA'!$D$26</f>
        <v>0</v>
      </c>
      <c r="W136" s="16">
        <f t="shared" si="101"/>
        <v>0</v>
      </c>
      <c r="X136" s="27">
        <f t="shared" si="93"/>
        <v>0</v>
      </c>
      <c r="Y136" s="27">
        <f t="shared" si="94"/>
        <v>0</v>
      </c>
      <c r="Z136" s="4">
        <f t="shared" si="95"/>
        <v>0</v>
      </c>
      <c r="AA136" s="82">
        <f>+'Finished goods'!$O$3*'PRIVATE CUSTOMER (BtoC)'!T136</f>
        <v>0</v>
      </c>
      <c r="AB136" s="82">
        <f>+'Finished goods'!$P$20*R136</f>
        <v>0</v>
      </c>
      <c r="AC136" s="83">
        <f t="shared" si="96"/>
        <v>0</v>
      </c>
      <c r="AD136" s="93" t="e">
        <f t="shared" si="97"/>
        <v>#DIV/0!</v>
      </c>
      <c r="AE136" s="93">
        <f>+'REVENUE DATA'!$D$20</f>
        <v>30</v>
      </c>
      <c r="AF136" s="90" t="e">
        <f t="shared" si="98"/>
        <v>#DIV/0!</v>
      </c>
      <c r="AG136" s="91" t="e">
        <f t="shared" si="99"/>
        <v>#DIV/0!</v>
      </c>
      <c r="AH136" s="92">
        <f t="shared" si="100"/>
        <v>0</v>
      </c>
    </row>
    <row r="137" spans="1:34" x14ac:dyDescent="0.3">
      <c r="A137" s="223"/>
      <c r="B137" s="4"/>
      <c r="C137" s="4" t="str">
        <f t="shared" si="89"/>
        <v>Caraffa colonna twist3</v>
      </c>
      <c r="D137" s="5">
        <f t="shared" si="89"/>
        <v>2</v>
      </c>
      <c r="E137" s="5">
        <f t="shared" si="89"/>
        <v>1</v>
      </c>
      <c r="F137" s="5">
        <f t="shared" si="89"/>
        <v>1.42</v>
      </c>
      <c r="G137" s="5">
        <f t="shared" si="89"/>
        <v>102</v>
      </c>
      <c r="H137" s="4">
        <f t="shared" si="89"/>
        <v>3.3727121999999998E-4</v>
      </c>
      <c r="I137" s="6">
        <f t="shared" si="89"/>
        <v>0.93686449999999988</v>
      </c>
      <c r="J137" s="6">
        <f t="shared" si="89"/>
        <v>0.8431780499999999</v>
      </c>
      <c r="R137" s="23">
        <v>0</v>
      </c>
      <c r="S137" s="6">
        <f t="shared" si="87"/>
        <v>0</v>
      </c>
      <c r="T137" s="6">
        <f t="shared" si="90"/>
        <v>0</v>
      </c>
      <c r="U137" s="4">
        <f t="shared" si="91"/>
        <v>0</v>
      </c>
      <c r="V137" s="115">
        <f>+S137*$M$3/'COST DATA'!$D$26</f>
        <v>0</v>
      </c>
      <c r="W137" s="16">
        <f t="shared" si="101"/>
        <v>0</v>
      </c>
      <c r="X137" s="27">
        <f t="shared" si="93"/>
        <v>0</v>
      </c>
      <c r="Y137" s="27">
        <f t="shared" si="94"/>
        <v>0</v>
      </c>
      <c r="Z137" s="4">
        <f t="shared" si="95"/>
        <v>0</v>
      </c>
      <c r="AA137" s="82">
        <f>+'Finished goods'!$O$3*'PRIVATE CUSTOMER (BtoC)'!T137</f>
        <v>0</v>
      </c>
      <c r="AB137" s="82">
        <f>+'Finished goods'!$P$21*R137</f>
        <v>0</v>
      </c>
      <c r="AC137" s="83">
        <f t="shared" si="96"/>
        <v>0</v>
      </c>
      <c r="AD137" s="93" t="e">
        <f t="shared" si="97"/>
        <v>#DIV/0!</v>
      </c>
      <c r="AE137" s="93">
        <f>+'REVENUE DATA'!$D$21</f>
        <v>30</v>
      </c>
      <c r="AF137" s="90" t="e">
        <f t="shared" si="98"/>
        <v>#DIV/0!</v>
      </c>
      <c r="AG137" s="91" t="e">
        <f t="shared" si="99"/>
        <v>#DIV/0!</v>
      </c>
      <c r="AH137" s="92">
        <f t="shared" si="100"/>
        <v>0</v>
      </c>
    </row>
    <row r="138" spans="1:34" x14ac:dyDescent="0.3">
      <c r="A138" s="223"/>
      <c r="B138" s="4"/>
      <c r="C138" s="4" t="str">
        <f t="shared" si="89"/>
        <v>Bicchiere colonna twist1</v>
      </c>
      <c r="D138" s="5">
        <f t="shared" si="89"/>
        <v>1</v>
      </c>
      <c r="E138" s="5">
        <f t="shared" si="89"/>
        <v>1</v>
      </c>
      <c r="F138" s="5">
        <f t="shared" si="89"/>
        <v>0.57999999999999996</v>
      </c>
      <c r="G138" s="5">
        <f t="shared" si="89"/>
        <v>58</v>
      </c>
      <c r="H138" s="4">
        <f t="shared" si="89"/>
        <v>9.7981700000000004E-5</v>
      </c>
      <c r="I138" s="6">
        <f t="shared" si="89"/>
        <v>0.27217138888888892</v>
      </c>
      <c r="J138" s="6">
        <f t="shared" si="89"/>
        <v>0.24495425000000001</v>
      </c>
      <c r="R138" s="23">
        <v>0</v>
      </c>
      <c r="S138" s="6">
        <f t="shared" si="87"/>
        <v>0</v>
      </c>
      <c r="T138" s="6">
        <f t="shared" si="90"/>
        <v>0</v>
      </c>
      <c r="U138" s="4">
        <f t="shared" si="91"/>
        <v>0</v>
      </c>
      <c r="V138" s="115">
        <f>+S138*$M$3/'COST DATA'!$D$26</f>
        <v>0</v>
      </c>
      <c r="W138" s="16">
        <f t="shared" si="101"/>
        <v>0</v>
      </c>
      <c r="X138" s="27">
        <f t="shared" si="93"/>
        <v>0</v>
      </c>
      <c r="Y138" s="27">
        <f t="shared" si="94"/>
        <v>0</v>
      </c>
      <c r="Z138" s="4">
        <f t="shared" si="95"/>
        <v>0</v>
      </c>
      <c r="AA138" s="82">
        <f>+'Finished goods'!$O$3*'PRIVATE CUSTOMER (BtoC)'!T138</f>
        <v>0</v>
      </c>
      <c r="AB138" s="82">
        <f>+'Finished goods'!$P$22*R138</f>
        <v>0</v>
      </c>
      <c r="AC138" s="83">
        <f t="shared" si="96"/>
        <v>0</v>
      </c>
      <c r="AD138" s="93" t="e">
        <f t="shared" si="97"/>
        <v>#DIV/0!</v>
      </c>
      <c r="AE138" s="93">
        <f>+'REVENUE DATA'!$D$22</f>
        <v>0</v>
      </c>
      <c r="AF138" s="90" t="e">
        <f t="shared" si="98"/>
        <v>#DIV/0!</v>
      </c>
      <c r="AG138" s="91" t="e">
        <f t="shared" si="99"/>
        <v>#DIV/0!</v>
      </c>
      <c r="AH138" s="92">
        <f t="shared" si="100"/>
        <v>0</v>
      </c>
    </row>
    <row r="139" spans="1:34" x14ac:dyDescent="0.3">
      <c r="A139" s="223"/>
      <c r="B139" s="4"/>
      <c r="C139" s="4" t="str">
        <f t="shared" si="89"/>
        <v>Bicchiere colonna twist2</v>
      </c>
      <c r="D139" s="5">
        <f t="shared" si="89"/>
        <v>1</v>
      </c>
      <c r="E139" s="5">
        <f t="shared" si="89"/>
        <v>1</v>
      </c>
      <c r="F139" s="5">
        <f t="shared" si="89"/>
        <v>0.59</v>
      </c>
      <c r="G139" s="5">
        <f t="shared" si="89"/>
        <v>59</v>
      </c>
      <c r="H139" s="4">
        <f t="shared" si="89"/>
        <v>9.7982366999999995E-5</v>
      </c>
      <c r="I139" s="6">
        <f t="shared" si="89"/>
        <v>0.27217324166666662</v>
      </c>
      <c r="J139" s="6">
        <f t="shared" si="89"/>
        <v>0.24495591749999998</v>
      </c>
      <c r="R139" s="23">
        <v>0</v>
      </c>
      <c r="S139" s="6">
        <f t="shared" si="87"/>
        <v>0</v>
      </c>
      <c r="T139" s="6">
        <f t="shared" si="90"/>
        <v>0</v>
      </c>
      <c r="U139" s="4">
        <f t="shared" si="91"/>
        <v>0</v>
      </c>
      <c r="V139" s="115">
        <f>+S139*$M$3/'COST DATA'!$D$26</f>
        <v>0</v>
      </c>
      <c r="W139" s="16">
        <f t="shared" si="101"/>
        <v>0</v>
      </c>
      <c r="X139" s="27">
        <f t="shared" si="93"/>
        <v>0</v>
      </c>
      <c r="Y139" s="27">
        <f t="shared" si="94"/>
        <v>0</v>
      </c>
      <c r="Z139" s="4">
        <f t="shared" si="95"/>
        <v>0</v>
      </c>
      <c r="AA139" s="82">
        <f>+'Finished goods'!$O$3*'PRIVATE CUSTOMER (BtoC)'!T139</f>
        <v>0</v>
      </c>
      <c r="AB139" s="82">
        <f>+'Finished goods'!$P$23*R139</f>
        <v>0</v>
      </c>
      <c r="AC139" s="83">
        <f t="shared" si="96"/>
        <v>0</v>
      </c>
      <c r="AD139" s="93" t="e">
        <f t="shared" si="97"/>
        <v>#DIV/0!</v>
      </c>
      <c r="AE139" s="93">
        <f>+'REVENUE DATA'!$D$23</f>
        <v>0</v>
      </c>
      <c r="AF139" s="90" t="e">
        <f t="shared" si="98"/>
        <v>#DIV/0!</v>
      </c>
      <c r="AG139" s="91" t="e">
        <f t="shared" si="99"/>
        <v>#DIV/0!</v>
      </c>
      <c r="AH139" s="92">
        <f t="shared" si="100"/>
        <v>0</v>
      </c>
    </row>
    <row r="140" spans="1:34" x14ac:dyDescent="0.3">
      <c r="A140" s="223"/>
      <c r="B140" s="4"/>
      <c r="C140" s="4" t="str">
        <f t="shared" si="89"/>
        <v>Bicchiere colonna twist3</v>
      </c>
      <c r="D140" s="5">
        <f t="shared" si="89"/>
        <v>1</v>
      </c>
      <c r="E140" s="5">
        <f t="shared" si="89"/>
        <v>1</v>
      </c>
      <c r="F140" s="5">
        <f t="shared" si="89"/>
        <v>0.59</v>
      </c>
      <c r="G140" s="5">
        <f t="shared" si="89"/>
        <v>59</v>
      </c>
      <c r="H140" s="4">
        <f t="shared" si="89"/>
        <v>9.7984652999999995E-5</v>
      </c>
      <c r="I140" s="6">
        <f t="shared" si="89"/>
        <v>0.27217959166666666</v>
      </c>
      <c r="J140" s="6">
        <f t="shared" si="89"/>
        <v>0.2449616325</v>
      </c>
      <c r="R140" s="23">
        <v>0</v>
      </c>
      <c r="S140" s="6">
        <f t="shared" si="87"/>
        <v>0</v>
      </c>
      <c r="T140" s="6">
        <f t="shared" si="90"/>
        <v>0</v>
      </c>
      <c r="U140" s="4">
        <f t="shared" si="91"/>
        <v>0</v>
      </c>
      <c r="V140" s="115">
        <f>+S140*$M$3/'COST DATA'!$D$26</f>
        <v>0</v>
      </c>
      <c r="W140" s="16">
        <f t="shared" si="101"/>
        <v>0</v>
      </c>
      <c r="X140" s="27">
        <f t="shared" si="93"/>
        <v>0</v>
      </c>
      <c r="Y140" s="27">
        <f t="shared" si="94"/>
        <v>0</v>
      </c>
      <c r="Z140" s="4">
        <f t="shared" si="95"/>
        <v>0</v>
      </c>
      <c r="AA140" s="82">
        <f>+'Finished goods'!$O$3*'PRIVATE CUSTOMER (BtoC)'!T140</f>
        <v>0</v>
      </c>
      <c r="AB140" s="82">
        <f>+'Finished goods'!$P$24*R140</f>
        <v>0</v>
      </c>
      <c r="AC140" s="83">
        <f t="shared" si="96"/>
        <v>0</v>
      </c>
      <c r="AD140" s="93" t="e">
        <f t="shared" si="97"/>
        <v>#DIV/0!</v>
      </c>
      <c r="AE140" s="93">
        <f>+'REVENUE DATA'!$D$24</f>
        <v>0</v>
      </c>
      <c r="AF140" s="90" t="e">
        <f t="shared" si="98"/>
        <v>#DIV/0!</v>
      </c>
      <c r="AG140" s="91" t="e">
        <f t="shared" si="99"/>
        <v>#DIV/0!</v>
      </c>
      <c r="AH140" s="92">
        <f t="shared" si="100"/>
        <v>0</v>
      </c>
    </row>
    <row r="141" spans="1:34" x14ac:dyDescent="0.3">
      <c r="A141" s="223"/>
      <c r="B141" s="4"/>
      <c r="C141" s="4" t="str">
        <f t="shared" si="89"/>
        <v>Bicchiere colonna twist alto</v>
      </c>
      <c r="D141" s="5">
        <f t="shared" si="89"/>
        <v>1</v>
      </c>
      <c r="E141" s="5">
        <f t="shared" si="89"/>
        <v>1</v>
      </c>
      <c r="F141" s="5">
        <f t="shared" si="89"/>
        <v>0.57999999999999996</v>
      </c>
      <c r="G141" s="5">
        <f t="shared" si="89"/>
        <v>58</v>
      </c>
      <c r="H141" s="4">
        <f t="shared" si="89"/>
        <v>9.4065272999999995E-5</v>
      </c>
      <c r="I141" s="6">
        <f t="shared" si="89"/>
        <v>0.26129242499999999</v>
      </c>
      <c r="J141" s="6">
        <f t="shared" si="89"/>
        <v>0.23516318249999998</v>
      </c>
      <c r="R141" s="23">
        <v>0</v>
      </c>
      <c r="S141" s="6">
        <f t="shared" si="87"/>
        <v>0</v>
      </c>
      <c r="T141" s="6">
        <f t="shared" si="90"/>
        <v>0</v>
      </c>
      <c r="U141" s="4">
        <f t="shared" si="91"/>
        <v>0</v>
      </c>
      <c r="V141" s="115">
        <f>+S141*$M$3/'COST DATA'!$D$26</f>
        <v>0</v>
      </c>
      <c r="W141" s="16">
        <f t="shared" si="101"/>
        <v>0</v>
      </c>
      <c r="X141" s="27">
        <f t="shared" si="93"/>
        <v>0</v>
      </c>
      <c r="Y141" s="27">
        <f t="shared" si="94"/>
        <v>0</v>
      </c>
      <c r="Z141" s="4">
        <f t="shared" si="95"/>
        <v>0</v>
      </c>
      <c r="AA141" s="82">
        <f>+'Finished goods'!$O$3*'PRIVATE CUSTOMER (BtoC)'!T141</f>
        <v>0</v>
      </c>
      <c r="AB141" s="82">
        <f>+'Finished goods'!$P$25*R141</f>
        <v>0</v>
      </c>
      <c r="AC141" s="83">
        <f t="shared" si="96"/>
        <v>0</v>
      </c>
      <c r="AD141" s="93" t="e">
        <f t="shared" si="97"/>
        <v>#DIV/0!</v>
      </c>
      <c r="AE141" s="93">
        <f>+'REVENUE DATA'!$D$25</f>
        <v>0</v>
      </c>
      <c r="AF141" s="90" t="e">
        <f t="shared" si="98"/>
        <v>#DIV/0!</v>
      </c>
      <c r="AG141" s="91" t="e">
        <f t="shared" si="99"/>
        <v>#DIV/0!</v>
      </c>
      <c r="AH141" s="92">
        <f t="shared" si="100"/>
        <v>0</v>
      </c>
    </row>
    <row r="142" spans="1:34" x14ac:dyDescent="0.3">
      <c r="A142" s="223"/>
      <c r="B142" s="4"/>
      <c r="C142" s="4" t="str">
        <f t="shared" si="89"/>
        <v>Oliera1</v>
      </c>
      <c r="D142" s="5">
        <f t="shared" si="89"/>
        <v>2</v>
      </c>
      <c r="E142" s="5">
        <f t="shared" si="89"/>
        <v>1</v>
      </c>
      <c r="F142" s="5">
        <f t="shared" si="89"/>
        <v>0.54</v>
      </c>
      <c r="G142" s="5">
        <f t="shared" si="89"/>
        <v>54</v>
      </c>
      <c r="H142" s="4">
        <f t="shared" si="89"/>
        <v>1.830542E-4</v>
      </c>
      <c r="I142" s="6">
        <f t="shared" si="89"/>
        <v>0.50848388888888885</v>
      </c>
      <c r="J142" s="6">
        <f t="shared" si="89"/>
        <v>0.45763549999999997</v>
      </c>
      <c r="R142" s="23">
        <v>0</v>
      </c>
      <c r="S142" s="6">
        <f t="shared" si="87"/>
        <v>0</v>
      </c>
      <c r="T142" s="6">
        <f t="shared" si="90"/>
        <v>0</v>
      </c>
      <c r="U142" s="4">
        <f t="shared" si="91"/>
        <v>0</v>
      </c>
      <c r="V142" s="115">
        <f>+S142*$M$3/'COST DATA'!$D$26</f>
        <v>0</v>
      </c>
      <c r="W142" s="16">
        <f t="shared" si="101"/>
        <v>0</v>
      </c>
      <c r="X142" s="27">
        <f t="shared" si="93"/>
        <v>0</v>
      </c>
      <c r="Y142" s="27">
        <f t="shared" si="94"/>
        <v>0</v>
      </c>
      <c r="Z142" s="4">
        <f t="shared" si="95"/>
        <v>0</v>
      </c>
      <c r="AA142" s="82">
        <f>+'Finished goods'!$O$3*'PRIVATE CUSTOMER (BtoC)'!T142</f>
        <v>0</v>
      </c>
      <c r="AB142" s="82">
        <f>+'Finished goods'!$P$26*R142</f>
        <v>0</v>
      </c>
      <c r="AC142" s="83">
        <f t="shared" si="96"/>
        <v>0</v>
      </c>
      <c r="AD142" s="93" t="e">
        <f t="shared" si="97"/>
        <v>#DIV/0!</v>
      </c>
      <c r="AE142" s="93">
        <f>+'REVENUE DATA'!$D$26</f>
        <v>0</v>
      </c>
      <c r="AF142" s="90" t="e">
        <f t="shared" si="98"/>
        <v>#DIV/0!</v>
      </c>
      <c r="AG142" s="91" t="e">
        <f t="shared" si="99"/>
        <v>#DIV/0!</v>
      </c>
      <c r="AH142" s="92">
        <f t="shared" si="100"/>
        <v>0</v>
      </c>
    </row>
    <row r="143" spans="1:34" ht="15" thickBot="1" x14ac:dyDescent="0.35">
      <c r="A143" s="224"/>
      <c r="B143" s="4"/>
      <c r="C143" s="4" t="str">
        <f t="shared" si="89"/>
        <v>Piatto spirale</v>
      </c>
      <c r="D143" s="5">
        <f t="shared" si="89"/>
        <v>4</v>
      </c>
      <c r="E143" s="5">
        <f t="shared" si="89"/>
        <v>5</v>
      </c>
      <c r="F143" s="5">
        <f t="shared" si="89"/>
        <v>0.25</v>
      </c>
      <c r="G143" s="5">
        <f t="shared" si="89"/>
        <v>25</v>
      </c>
      <c r="H143" s="4">
        <f t="shared" si="89"/>
        <v>1.575448E-4</v>
      </c>
      <c r="I143" s="6">
        <f t="shared" si="89"/>
        <v>0.43762444444444443</v>
      </c>
      <c r="J143" s="6">
        <f t="shared" si="89"/>
        <v>0.39386199999999999</v>
      </c>
      <c r="R143" s="23">
        <v>0</v>
      </c>
      <c r="S143" s="6">
        <f t="shared" si="87"/>
        <v>0</v>
      </c>
      <c r="T143" s="6">
        <f t="shared" si="90"/>
        <v>0</v>
      </c>
      <c r="U143" s="4">
        <f t="shared" si="91"/>
        <v>0</v>
      </c>
      <c r="V143" s="116">
        <f>+S143*$M$3/'COST DATA'!$D$26</f>
        <v>0</v>
      </c>
      <c r="W143" s="117">
        <f t="shared" si="101"/>
        <v>0</v>
      </c>
      <c r="X143" s="118">
        <f t="shared" si="93"/>
        <v>0</v>
      </c>
      <c r="Y143" s="118">
        <f t="shared" si="94"/>
        <v>0</v>
      </c>
      <c r="Z143" s="119">
        <f t="shared" si="95"/>
        <v>0</v>
      </c>
      <c r="AA143" s="85">
        <f>+'Finished goods'!$O$3*'PRIVATE CUSTOMER (BtoC)'!T143</f>
        <v>0</v>
      </c>
      <c r="AB143" s="85">
        <f>+'Finished goods'!$P$27*R143</f>
        <v>0</v>
      </c>
      <c r="AC143" s="86">
        <f t="shared" si="96"/>
        <v>0</v>
      </c>
      <c r="AD143" s="93" t="e">
        <f t="shared" si="97"/>
        <v>#DIV/0!</v>
      </c>
      <c r="AE143" s="93">
        <f>+'REVENUE DATA'!$D$27</f>
        <v>0</v>
      </c>
      <c r="AF143" s="90" t="e">
        <f t="shared" si="98"/>
        <v>#DIV/0!</v>
      </c>
      <c r="AG143" s="91" t="e">
        <f t="shared" si="99"/>
        <v>#DIV/0!</v>
      </c>
      <c r="AH143" s="92">
        <f t="shared" si="100"/>
        <v>0</v>
      </c>
    </row>
    <row r="146" spans="1:34" ht="18.600000000000001" thickBot="1" x14ac:dyDescent="0.4">
      <c r="D146" s="237" t="s">
        <v>40</v>
      </c>
      <c r="E146" s="237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10" t="s">
        <v>32</v>
      </c>
      <c r="S146" s="87">
        <f>+S148/60/7</f>
        <v>0</v>
      </c>
      <c r="T146" s="88" t="s">
        <v>83</v>
      </c>
    </row>
    <row r="147" spans="1:34" x14ac:dyDescent="0.3">
      <c r="D147" s="236" t="s">
        <v>33</v>
      </c>
      <c r="E147" s="236"/>
      <c r="F147" s="236"/>
      <c r="G147" s="236"/>
      <c r="H147" s="236"/>
      <c r="I147" s="236"/>
      <c r="J147" s="236"/>
      <c r="M147" s="236" t="s">
        <v>36</v>
      </c>
      <c r="N147" s="236"/>
      <c r="O147" s="236"/>
      <c r="P147" s="236"/>
      <c r="Q147" s="236"/>
      <c r="V147" s="238" t="s">
        <v>135</v>
      </c>
      <c r="W147" s="239"/>
      <c r="X147" s="239"/>
      <c r="Y147" s="239"/>
      <c r="Z147" s="239"/>
      <c r="AA147" s="239"/>
      <c r="AB147" s="239"/>
      <c r="AC147" s="240"/>
    </row>
    <row r="148" spans="1:34" ht="18" x14ac:dyDescent="0.35">
      <c r="F148" s="225" t="s">
        <v>44</v>
      </c>
      <c r="G148" s="225"/>
      <c r="I148" s="20">
        <f>SUBTOTAL(9,I150:I172)</f>
        <v>59.570075669444442</v>
      </c>
      <c r="J148" s="20">
        <f>SUBTOTAL(9,J150:J172)</f>
        <v>53.613068102499987</v>
      </c>
      <c r="K148" s="1">
        <f>+'Finished goods'!$I$3</f>
        <v>2500</v>
      </c>
      <c r="L148" s="1">
        <f>+'Finished goods'!$J$3</f>
        <v>0.9</v>
      </c>
      <c r="M148" s="15">
        <f>+'Finished goods'!$K$3</f>
        <v>0.50772709939119998</v>
      </c>
      <c r="N148" s="15">
        <f>+'Finished goods'!$L$3</f>
        <v>6.7889999999999999E-3</v>
      </c>
      <c r="O148" s="13">
        <f>+'Finished goods'!$M$3</f>
        <v>0.15750000000000003</v>
      </c>
      <c r="P148" s="46">
        <f>+'Finished goods'!$N$3</f>
        <v>5.8880308880308881E-2</v>
      </c>
      <c r="Q148" s="1"/>
      <c r="S148" s="17">
        <f>SUBTOTAL(9,S150:S172)</f>
        <v>0</v>
      </c>
      <c r="T148" s="17">
        <f>SUBTOTAL(9,T150:T172)</f>
        <v>0</v>
      </c>
      <c r="U148" s="75">
        <f>SUBTOTAL(9,U150:U172)</f>
        <v>0</v>
      </c>
      <c r="V148" s="77">
        <f t="shared" ref="V148:AC148" si="102">SUBTOTAL(9,V150:V172)</f>
        <v>0</v>
      </c>
      <c r="W148" s="17">
        <f t="shared" si="102"/>
        <v>0</v>
      </c>
      <c r="X148" s="17">
        <f t="shared" si="102"/>
        <v>0</v>
      </c>
      <c r="Y148" s="17">
        <f t="shared" si="102"/>
        <v>0</v>
      </c>
      <c r="Z148" s="17">
        <f t="shared" si="102"/>
        <v>0</v>
      </c>
      <c r="AA148" s="17">
        <f t="shared" si="102"/>
        <v>0</v>
      </c>
      <c r="AB148" s="17">
        <f t="shared" si="102"/>
        <v>0</v>
      </c>
      <c r="AC148" s="78">
        <f t="shared" si="102"/>
        <v>0</v>
      </c>
      <c r="AF148" s="225" t="s">
        <v>118</v>
      </c>
      <c r="AG148" s="225"/>
      <c r="AH148" s="108">
        <f t="shared" ref="AH148" si="103">SUBTOTAL(9,AH150:AH172)</f>
        <v>0</v>
      </c>
    </row>
    <row r="149" spans="1:34" x14ac:dyDescent="0.3">
      <c r="A149" s="1" t="s">
        <v>145</v>
      </c>
      <c r="B149" s="1" t="s">
        <v>30</v>
      </c>
      <c r="C149" s="1" t="s">
        <v>0</v>
      </c>
      <c r="D149" s="1" t="s">
        <v>4</v>
      </c>
      <c r="E149" s="1" t="s">
        <v>5</v>
      </c>
      <c r="F149" s="1" t="s">
        <v>45</v>
      </c>
      <c r="G149" s="1" t="s">
        <v>57</v>
      </c>
      <c r="H149" s="1" t="s">
        <v>6</v>
      </c>
      <c r="I149" s="1" t="s">
        <v>2</v>
      </c>
      <c r="J149" s="1" t="s">
        <v>7</v>
      </c>
      <c r="K149" s="1" t="s">
        <v>31</v>
      </c>
      <c r="L149" s="1" t="s">
        <v>8</v>
      </c>
      <c r="M149" s="1" t="s">
        <v>34</v>
      </c>
      <c r="N149" s="1" t="s">
        <v>35</v>
      </c>
      <c r="O149" s="1" t="s">
        <v>37</v>
      </c>
      <c r="P149" s="1" t="s">
        <v>93</v>
      </c>
      <c r="Q149" s="1" t="s">
        <v>94</v>
      </c>
      <c r="R149" s="11" t="s">
        <v>39</v>
      </c>
      <c r="S149" s="2" t="s">
        <v>43</v>
      </c>
      <c r="T149" s="2" t="s">
        <v>2</v>
      </c>
      <c r="U149" s="76" t="s">
        <v>7</v>
      </c>
      <c r="V149" s="79" t="str">
        <f>+V4</f>
        <v>energia €/h</v>
      </c>
      <c r="W149" s="79" t="str">
        <f t="shared" ref="W149:AB149" si="104">+W4</f>
        <v>materiale €/Kg</v>
      </c>
      <c r="X149" s="79" t="str">
        <f t="shared" si="104"/>
        <v>mod</v>
      </c>
      <c r="Y149" s="79" t="str">
        <f t="shared" si="104"/>
        <v>ammort</v>
      </c>
      <c r="Z149" s="79" t="str">
        <f t="shared" si="104"/>
        <v>Accensione</v>
      </c>
      <c r="AA149" s="79" t="str">
        <f t="shared" si="104"/>
        <v>trasporto</v>
      </c>
      <c r="AB149" s="79" t="str">
        <f t="shared" si="104"/>
        <v>forniture</v>
      </c>
      <c r="AC149" s="80" t="s">
        <v>42</v>
      </c>
      <c r="AD149" s="53" t="s">
        <v>116</v>
      </c>
      <c r="AE149" s="1" t="s">
        <v>117</v>
      </c>
      <c r="AF149" s="1" t="s">
        <v>119</v>
      </c>
      <c r="AG149" s="1" t="s">
        <v>120</v>
      </c>
      <c r="AH149" s="1" t="s">
        <v>121</v>
      </c>
    </row>
    <row r="150" spans="1:34" x14ac:dyDescent="0.3">
      <c r="A150" s="222" t="s">
        <v>416</v>
      </c>
      <c r="B150" s="4"/>
      <c r="C150" s="4" t="str">
        <f>+C121</f>
        <v>Tavolo twist Logo</v>
      </c>
      <c r="D150" s="5">
        <f>+D121</f>
        <v>8</v>
      </c>
      <c r="E150" s="5">
        <f t="shared" ref="E150:J150" si="105">+E121</f>
        <v>10</v>
      </c>
      <c r="F150" s="5">
        <f t="shared" si="105"/>
        <v>1.22</v>
      </c>
      <c r="G150" s="5">
        <f t="shared" si="105"/>
        <v>82</v>
      </c>
      <c r="H150" s="4">
        <f t="shared" si="105"/>
        <v>7.9769999999999997E-3</v>
      </c>
      <c r="I150" s="6">
        <f t="shared" si="105"/>
        <v>22.158333333333331</v>
      </c>
      <c r="J150" s="6">
        <f t="shared" si="105"/>
        <v>19.942499999999999</v>
      </c>
      <c r="R150" s="23">
        <v>0</v>
      </c>
      <c r="S150" s="6">
        <f t="shared" ref="S150:S172" si="106">+G150*$R150</f>
        <v>0</v>
      </c>
      <c r="T150" s="6">
        <f t="shared" ref="T150" si="107">+I150*$R150</f>
        <v>0</v>
      </c>
      <c r="U150" s="4">
        <f>+J150*$R150</f>
        <v>0</v>
      </c>
      <c r="V150" s="115">
        <f>+S150*$M$3/'COST DATA'!$D$26</f>
        <v>0</v>
      </c>
      <c r="W150" s="16">
        <f>+U150*$N$3</f>
        <v>0</v>
      </c>
      <c r="X150" s="27">
        <f>+S150*$O$3</f>
        <v>0</v>
      </c>
      <c r="Y150" s="27">
        <f>+S150*$P$3</f>
        <v>0</v>
      </c>
      <c r="Z150" s="4">
        <f>+(S150/$S$3)*($S$1)</f>
        <v>0</v>
      </c>
      <c r="AA150" s="82">
        <f>+'Finished goods'!$O$3*'PRIVATE CUSTOMER (BtoC)'!T150</f>
        <v>0</v>
      </c>
      <c r="AB150" s="82">
        <f>+'Finished goods'!$P$5*R150</f>
        <v>0</v>
      </c>
      <c r="AC150" s="83">
        <f>SUM(V150:AB150)</f>
        <v>0</v>
      </c>
      <c r="AD150" s="93" t="e">
        <f>+AC150/R150</f>
        <v>#DIV/0!</v>
      </c>
      <c r="AE150" s="93">
        <f>+'REVENUE DATA'!$D$5</f>
        <v>1200</v>
      </c>
      <c r="AF150" s="90" t="e">
        <f>+AE150-AD150</f>
        <v>#DIV/0!</v>
      </c>
      <c r="AG150" s="91" t="e">
        <f>+AF150/AD150</f>
        <v>#DIV/0!</v>
      </c>
      <c r="AH150" s="92">
        <f>+AE150*R150</f>
        <v>0</v>
      </c>
    </row>
    <row r="151" spans="1:34" x14ac:dyDescent="0.3">
      <c r="A151" s="223"/>
      <c r="B151" s="4"/>
      <c r="C151" s="4" t="str">
        <f t="shared" ref="C151:J172" si="108">+C122</f>
        <v xml:space="preserve">Vaso bitorzolo curvo </v>
      </c>
      <c r="D151" s="5">
        <f t="shared" si="108"/>
        <v>4</v>
      </c>
      <c r="E151" s="5">
        <f t="shared" si="108"/>
        <v>2</v>
      </c>
      <c r="F151" s="5">
        <f t="shared" si="108"/>
        <v>5.21</v>
      </c>
      <c r="G151" s="5">
        <f t="shared" si="108"/>
        <v>321</v>
      </c>
      <c r="H151" s="4">
        <f t="shared" si="108"/>
        <v>6.0029599999999995E-4</v>
      </c>
      <c r="I151" s="6">
        <f t="shared" si="108"/>
        <v>1.6674888888888888</v>
      </c>
      <c r="J151" s="6">
        <f t="shared" si="108"/>
        <v>1.50074</v>
      </c>
      <c r="R151" s="23">
        <v>0</v>
      </c>
      <c r="S151" s="6">
        <f t="shared" si="106"/>
        <v>0</v>
      </c>
      <c r="T151" s="6">
        <f t="shared" ref="T151:T172" si="109">+H151*$R151</f>
        <v>0</v>
      </c>
      <c r="U151" s="4">
        <f t="shared" ref="U151:U172" si="110">+J151*$R151</f>
        <v>0</v>
      </c>
      <c r="V151" s="115">
        <f>+S151*$M$3/'COST DATA'!$D$26</f>
        <v>0</v>
      </c>
      <c r="W151" s="16">
        <f t="shared" ref="W151:W161" si="111">+U151*$N$3</f>
        <v>0</v>
      </c>
      <c r="X151" s="27">
        <f t="shared" ref="X151:X172" si="112">+S151*$O$3</f>
        <v>0</v>
      </c>
      <c r="Y151" s="27">
        <f t="shared" ref="Y151:Y172" si="113">+S151*$P$3</f>
        <v>0</v>
      </c>
      <c r="Z151" s="4">
        <f t="shared" ref="Z151:Z172" si="114">+(S151/$S$3)*($S$1)</f>
        <v>0</v>
      </c>
      <c r="AA151" s="82">
        <f>+'Finished goods'!$O$3*'PRIVATE CUSTOMER (BtoC)'!T151</f>
        <v>0</v>
      </c>
      <c r="AB151" s="82">
        <f>+'Finished goods'!$P$6*R151</f>
        <v>0</v>
      </c>
      <c r="AC151" s="83">
        <f t="shared" ref="AC151:AC172" si="115">SUM(V151:AB151)</f>
        <v>0</v>
      </c>
      <c r="AD151" s="93" t="e">
        <f t="shared" ref="AD151:AD172" si="116">+AC151/R151</f>
        <v>#DIV/0!</v>
      </c>
      <c r="AE151" s="93">
        <f>+'REVENUE DATA'!$D$6</f>
        <v>350</v>
      </c>
      <c r="AF151" s="90" t="e">
        <f t="shared" ref="AF151:AF172" si="117">+AE151-AD151</f>
        <v>#DIV/0!</v>
      </c>
      <c r="AG151" s="91" t="e">
        <f t="shared" ref="AG151:AG172" si="118">+AF151/AD151</f>
        <v>#DIV/0!</v>
      </c>
      <c r="AH151" s="92">
        <f t="shared" ref="AH151:AH172" si="119">+AE151*R151</f>
        <v>0</v>
      </c>
    </row>
    <row r="152" spans="1:34" x14ac:dyDescent="0.3">
      <c r="A152" s="223"/>
      <c r="B152" s="4"/>
      <c r="C152" s="4" t="str">
        <f t="shared" si="108"/>
        <v>Vaso bitorzolo twist</v>
      </c>
      <c r="D152" s="5">
        <f t="shared" si="108"/>
        <v>4</v>
      </c>
      <c r="E152" s="5">
        <f t="shared" si="108"/>
        <v>2</v>
      </c>
      <c r="F152" s="5">
        <f t="shared" si="108"/>
        <v>5.15</v>
      </c>
      <c r="G152" s="5">
        <f t="shared" si="108"/>
        <v>315</v>
      </c>
      <c r="H152" s="4">
        <f t="shared" si="108"/>
        <v>8.005105E-4</v>
      </c>
      <c r="I152" s="6">
        <f t="shared" si="108"/>
        <v>2.2236402777777777</v>
      </c>
      <c r="J152" s="6">
        <f t="shared" si="108"/>
        <v>2.0012762500000001</v>
      </c>
      <c r="R152" s="23">
        <v>0</v>
      </c>
      <c r="S152" s="6">
        <f t="shared" si="106"/>
        <v>0</v>
      </c>
      <c r="T152" s="6">
        <f t="shared" si="109"/>
        <v>0</v>
      </c>
      <c r="U152" s="4">
        <f t="shared" si="110"/>
        <v>0</v>
      </c>
      <c r="V152" s="115">
        <f>+S152*$M$3/'COST DATA'!$D$26</f>
        <v>0</v>
      </c>
      <c r="W152" s="16">
        <f t="shared" si="111"/>
        <v>0</v>
      </c>
      <c r="X152" s="27">
        <f t="shared" si="112"/>
        <v>0</v>
      </c>
      <c r="Y152" s="27">
        <f t="shared" si="113"/>
        <v>0</v>
      </c>
      <c r="Z152" s="4">
        <f t="shared" si="114"/>
        <v>0</v>
      </c>
      <c r="AA152" s="82">
        <f>+'Finished goods'!$O$3*'PRIVATE CUSTOMER (BtoC)'!T152</f>
        <v>0</v>
      </c>
      <c r="AB152" s="82">
        <f>+'Finished goods'!$P$7*R152</f>
        <v>0</v>
      </c>
      <c r="AC152" s="83">
        <f t="shared" si="115"/>
        <v>0</v>
      </c>
      <c r="AD152" s="93" t="e">
        <f t="shared" si="116"/>
        <v>#DIV/0!</v>
      </c>
      <c r="AE152" s="93">
        <f>+'REVENUE DATA'!$D$7</f>
        <v>350</v>
      </c>
      <c r="AF152" s="90" t="e">
        <f t="shared" si="117"/>
        <v>#DIV/0!</v>
      </c>
      <c r="AG152" s="91" t="e">
        <f t="shared" si="118"/>
        <v>#DIV/0!</v>
      </c>
      <c r="AH152" s="92">
        <f t="shared" si="119"/>
        <v>0</v>
      </c>
    </row>
    <row r="153" spans="1:34" x14ac:dyDescent="0.3">
      <c r="A153" s="223"/>
      <c r="B153" s="4"/>
      <c r="C153" s="4" t="str">
        <f t="shared" si="108"/>
        <v>Vaso bitorzolo dritto</v>
      </c>
      <c r="D153" s="5">
        <f t="shared" si="108"/>
        <v>4</v>
      </c>
      <c r="E153" s="5">
        <f t="shared" si="108"/>
        <v>2</v>
      </c>
      <c r="F153" s="5">
        <f t="shared" si="108"/>
        <v>4.4800000000000004</v>
      </c>
      <c r="G153" s="5">
        <f t="shared" si="108"/>
        <v>288</v>
      </c>
      <c r="H153" s="4">
        <f t="shared" si="108"/>
        <v>8.2321687099999998E-4</v>
      </c>
      <c r="I153" s="6">
        <f t="shared" si="108"/>
        <v>2.2867135305555553</v>
      </c>
      <c r="J153" s="6">
        <f t="shared" si="108"/>
        <v>2.0580421775</v>
      </c>
      <c r="R153" s="23">
        <v>0</v>
      </c>
      <c r="S153" s="6">
        <f t="shared" si="106"/>
        <v>0</v>
      </c>
      <c r="T153" s="6">
        <f t="shared" si="109"/>
        <v>0</v>
      </c>
      <c r="U153" s="4">
        <f t="shared" si="110"/>
        <v>0</v>
      </c>
      <c r="V153" s="115">
        <f>+S153*$M$3/'COST DATA'!$D$26</f>
        <v>0</v>
      </c>
      <c r="W153" s="16">
        <f t="shared" si="111"/>
        <v>0</v>
      </c>
      <c r="X153" s="27">
        <f t="shared" si="112"/>
        <v>0</v>
      </c>
      <c r="Y153" s="27">
        <f t="shared" si="113"/>
        <v>0</v>
      </c>
      <c r="Z153" s="4">
        <f t="shared" si="114"/>
        <v>0</v>
      </c>
      <c r="AA153" s="82">
        <f>+'Finished goods'!$O$3*'PRIVATE CUSTOMER (BtoC)'!T153</f>
        <v>0</v>
      </c>
      <c r="AB153" s="82">
        <f>+'Finished goods'!$P$8*R153</f>
        <v>0</v>
      </c>
      <c r="AC153" s="83">
        <f t="shared" si="115"/>
        <v>0</v>
      </c>
      <c r="AD153" s="93" t="e">
        <f t="shared" si="116"/>
        <v>#DIV/0!</v>
      </c>
      <c r="AE153" s="93">
        <f>+'REVENUE DATA'!$D$8</f>
        <v>350</v>
      </c>
      <c r="AF153" s="90" t="e">
        <f t="shared" si="117"/>
        <v>#DIV/0!</v>
      </c>
      <c r="AG153" s="91" t="e">
        <f t="shared" si="118"/>
        <v>#DIV/0!</v>
      </c>
      <c r="AH153" s="92">
        <f t="shared" si="119"/>
        <v>0</v>
      </c>
    </row>
    <row r="154" spans="1:34" x14ac:dyDescent="0.3">
      <c r="A154" s="223"/>
      <c r="B154" s="4"/>
      <c r="C154" s="4" t="str">
        <f t="shared" si="108"/>
        <v>Porta riviste</v>
      </c>
      <c r="D154" s="5">
        <f t="shared" si="108"/>
        <v>10</v>
      </c>
      <c r="E154" s="5">
        <f t="shared" si="108"/>
        <v>10</v>
      </c>
      <c r="F154" s="5">
        <f t="shared" si="108"/>
        <v>0.42</v>
      </c>
      <c r="G154" s="5">
        <f t="shared" si="108"/>
        <v>42</v>
      </c>
      <c r="H154" s="4">
        <f t="shared" si="108"/>
        <v>3.5606798E-3</v>
      </c>
      <c r="I154" s="6">
        <f t="shared" si="108"/>
        <v>9.890777222222221</v>
      </c>
      <c r="J154" s="6">
        <f t="shared" si="108"/>
        <v>8.9016994999999994</v>
      </c>
      <c r="R154" s="23">
        <v>0</v>
      </c>
      <c r="S154" s="6">
        <f t="shared" si="106"/>
        <v>0</v>
      </c>
      <c r="T154" s="6">
        <f t="shared" si="109"/>
        <v>0</v>
      </c>
      <c r="U154" s="4">
        <f t="shared" si="110"/>
        <v>0</v>
      </c>
      <c r="V154" s="115">
        <f>+S154*$M$3/'COST DATA'!$D$26</f>
        <v>0</v>
      </c>
      <c r="W154" s="16">
        <f t="shared" si="111"/>
        <v>0</v>
      </c>
      <c r="X154" s="27">
        <f t="shared" si="112"/>
        <v>0</v>
      </c>
      <c r="Y154" s="27">
        <f t="shared" si="113"/>
        <v>0</v>
      </c>
      <c r="Z154" s="4">
        <f t="shared" si="114"/>
        <v>0</v>
      </c>
      <c r="AA154" s="82">
        <f>+'Finished goods'!$O$3*'PRIVATE CUSTOMER (BtoC)'!T154</f>
        <v>0</v>
      </c>
      <c r="AB154" s="82">
        <f>+'Finished goods'!$P$9*R154</f>
        <v>0</v>
      </c>
      <c r="AC154" s="83">
        <f t="shared" si="115"/>
        <v>0</v>
      </c>
      <c r="AD154" s="93" t="e">
        <f t="shared" si="116"/>
        <v>#DIV/0!</v>
      </c>
      <c r="AE154" s="93">
        <f>+'REVENUE DATA'!$D$9</f>
        <v>180</v>
      </c>
      <c r="AF154" s="90" t="e">
        <f t="shared" si="117"/>
        <v>#DIV/0!</v>
      </c>
      <c r="AG154" s="91" t="e">
        <f t="shared" si="118"/>
        <v>#DIV/0!</v>
      </c>
      <c r="AH154" s="92">
        <f t="shared" si="119"/>
        <v>0</v>
      </c>
    </row>
    <row r="155" spans="1:34" x14ac:dyDescent="0.3">
      <c r="A155" s="223"/>
      <c r="B155" s="4"/>
      <c r="C155" s="4" t="str">
        <f t="shared" si="108"/>
        <v>Lampada 90 grossa</v>
      </c>
      <c r="D155" s="5">
        <f t="shared" si="108"/>
        <v>8</v>
      </c>
      <c r="E155" s="5">
        <f t="shared" si="108"/>
        <v>10</v>
      </c>
      <c r="F155" s="5">
        <f t="shared" si="108"/>
        <v>1.39</v>
      </c>
      <c r="G155" s="5">
        <f t="shared" si="108"/>
        <v>99</v>
      </c>
      <c r="H155" s="4">
        <f t="shared" si="108"/>
        <v>1.7366300000000001E-3</v>
      </c>
      <c r="I155" s="6">
        <f t="shared" si="108"/>
        <v>4.8239722222222232</v>
      </c>
      <c r="J155" s="6">
        <f t="shared" si="108"/>
        <v>4.3415750000000006</v>
      </c>
      <c r="R155" s="23">
        <v>0</v>
      </c>
      <c r="S155" s="6">
        <f t="shared" si="106"/>
        <v>0</v>
      </c>
      <c r="T155" s="6">
        <f t="shared" si="109"/>
        <v>0</v>
      </c>
      <c r="U155" s="4">
        <f t="shared" si="110"/>
        <v>0</v>
      </c>
      <c r="V155" s="115">
        <f>+S155*$M$3/'COST DATA'!$D$26</f>
        <v>0</v>
      </c>
      <c r="W155" s="16">
        <f t="shared" si="111"/>
        <v>0</v>
      </c>
      <c r="X155" s="27">
        <f t="shared" si="112"/>
        <v>0</v>
      </c>
      <c r="Y155" s="27">
        <f t="shared" si="113"/>
        <v>0</v>
      </c>
      <c r="Z155" s="4">
        <f t="shared" si="114"/>
        <v>0</v>
      </c>
      <c r="AA155" s="82">
        <f>+'Finished goods'!$O$3*'PRIVATE CUSTOMER (BtoC)'!T155</f>
        <v>0</v>
      </c>
      <c r="AB155" s="82">
        <f>+'Finished goods'!$P$10*R155</f>
        <v>0</v>
      </c>
      <c r="AC155" s="83">
        <f t="shared" si="115"/>
        <v>0</v>
      </c>
      <c r="AD155" s="93" t="e">
        <f t="shared" si="116"/>
        <v>#DIV/0!</v>
      </c>
      <c r="AE155" s="93">
        <f>+'REVENUE DATA'!$D$10</f>
        <v>450</v>
      </c>
      <c r="AF155" s="90" t="e">
        <f t="shared" si="117"/>
        <v>#DIV/0!</v>
      </c>
      <c r="AG155" s="91" t="e">
        <f t="shared" si="118"/>
        <v>#DIV/0!</v>
      </c>
      <c r="AH155" s="92">
        <f t="shared" si="119"/>
        <v>0</v>
      </c>
    </row>
    <row r="156" spans="1:34" x14ac:dyDescent="0.3">
      <c r="A156" s="223"/>
      <c r="B156" s="4"/>
      <c r="C156" s="4" t="str">
        <f t="shared" si="108"/>
        <v>Lampada 90 piccola</v>
      </c>
      <c r="D156" s="5">
        <f t="shared" si="108"/>
        <v>5</v>
      </c>
      <c r="E156" s="5">
        <f t="shared" si="108"/>
        <v>10</v>
      </c>
      <c r="F156" s="5">
        <f t="shared" si="108"/>
        <v>1.1499999999999999</v>
      </c>
      <c r="G156" s="5">
        <f t="shared" si="108"/>
        <v>75</v>
      </c>
      <c r="H156" s="4">
        <f t="shared" si="108"/>
        <v>8.1557296000000004E-4</v>
      </c>
      <c r="I156" s="6">
        <f t="shared" si="108"/>
        <v>2.2654804444444445</v>
      </c>
      <c r="J156" s="6">
        <f t="shared" si="108"/>
        <v>2.0389324000000002</v>
      </c>
      <c r="R156" s="23">
        <v>0</v>
      </c>
      <c r="S156" s="6">
        <f t="shared" si="106"/>
        <v>0</v>
      </c>
      <c r="T156" s="6">
        <f t="shared" si="109"/>
        <v>0</v>
      </c>
      <c r="U156" s="4">
        <f t="shared" si="110"/>
        <v>0</v>
      </c>
      <c r="V156" s="115">
        <f>+S156*$M$3/'COST DATA'!$D$26</f>
        <v>0</v>
      </c>
      <c r="W156" s="16">
        <f t="shared" si="111"/>
        <v>0</v>
      </c>
      <c r="X156" s="27">
        <f t="shared" si="112"/>
        <v>0</v>
      </c>
      <c r="Y156" s="27">
        <f t="shared" si="113"/>
        <v>0</v>
      </c>
      <c r="Z156" s="4">
        <f t="shared" si="114"/>
        <v>0</v>
      </c>
      <c r="AA156" s="82">
        <f>+'Finished goods'!$O$3*'PRIVATE CUSTOMER (BtoC)'!T156</f>
        <v>0</v>
      </c>
      <c r="AB156" s="82">
        <f>+'Finished goods'!$P$11*R156</f>
        <v>0</v>
      </c>
      <c r="AC156" s="83">
        <f t="shared" si="115"/>
        <v>0</v>
      </c>
      <c r="AD156" s="93" t="e">
        <f t="shared" si="116"/>
        <v>#DIV/0!</v>
      </c>
      <c r="AE156" s="93">
        <f>+'REVENUE DATA'!$D$11</f>
        <v>200</v>
      </c>
      <c r="AF156" s="90" t="e">
        <f t="shared" si="117"/>
        <v>#DIV/0!</v>
      </c>
      <c r="AG156" s="91" t="e">
        <f t="shared" si="118"/>
        <v>#DIV/0!</v>
      </c>
      <c r="AH156" s="92">
        <f t="shared" si="119"/>
        <v>0</v>
      </c>
    </row>
    <row r="157" spans="1:34" x14ac:dyDescent="0.3">
      <c r="A157" s="223"/>
      <c r="B157" s="4"/>
      <c r="C157" s="4" t="str">
        <f t="shared" si="108"/>
        <v>Vaso Logo</v>
      </c>
      <c r="D157" s="5">
        <f t="shared" si="108"/>
        <v>5</v>
      </c>
      <c r="E157" s="5">
        <f t="shared" si="108"/>
        <v>10</v>
      </c>
      <c r="F157" s="5">
        <f t="shared" si="108"/>
        <v>0.39</v>
      </c>
      <c r="G157" s="5">
        <f t="shared" si="108"/>
        <v>39</v>
      </c>
      <c r="H157" s="4">
        <f t="shared" si="108"/>
        <v>1.1639584900000001E-3</v>
      </c>
      <c r="I157" s="6">
        <f t="shared" si="108"/>
        <v>3.2332180277777778</v>
      </c>
      <c r="J157" s="6">
        <f t="shared" si="108"/>
        <v>2.9098962250000002</v>
      </c>
      <c r="R157" s="23">
        <v>0</v>
      </c>
      <c r="S157" s="6">
        <f t="shared" si="106"/>
        <v>0</v>
      </c>
      <c r="T157" s="6">
        <f t="shared" si="109"/>
        <v>0</v>
      </c>
      <c r="U157" s="4">
        <f t="shared" si="110"/>
        <v>0</v>
      </c>
      <c r="V157" s="115">
        <f>+S157*$M$3/'COST DATA'!$D$26</f>
        <v>0</v>
      </c>
      <c r="W157" s="16">
        <f t="shared" si="111"/>
        <v>0</v>
      </c>
      <c r="X157" s="27">
        <f t="shared" si="112"/>
        <v>0</v>
      </c>
      <c r="Y157" s="27">
        <f t="shared" si="113"/>
        <v>0</v>
      </c>
      <c r="Z157" s="4">
        <f t="shared" si="114"/>
        <v>0</v>
      </c>
      <c r="AA157" s="82">
        <f>+'Finished goods'!$O$3*'PRIVATE CUSTOMER (BtoC)'!T157</f>
        <v>0</v>
      </c>
      <c r="AB157" s="82">
        <f>+'Finished goods'!$P$12*R157</f>
        <v>0</v>
      </c>
      <c r="AC157" s="83">
        <f t="shared" si="115"/>
        <v>0</v>
      </c>
      <c r="AD157" s="93" t="e">
        <f t="shared" si="116"/>
        <v>#DIV/0!</v>
      </c>
      <c r="AE157" s="93">
        <f>+'REVENUE DATA'!$D$12</f>
        <v>350</v>
      </c>
      <c r="AF157" s="90" t="e">
        <f t="shared" si="117"/>
        <v>#DIV/0!</v>
      </c>
      <c r="AG157" s="91" t="e">
        <f t="shared" si="118"/>
        <v>#DIV/0!</v>
      </c>
      <c r="AH157" s="92">
        <f t="shared" si="119"/>
        <v>0</v>
      </c>
    </row>
    <row r="158" spans="1:34" x14ac:dyDescent="0.3">
      <c r="A158" s="223"/>
      <c r="B158" s="4"/>
      <c r="C158" s="4" t="str">
        <f t="shared" si="108"/>
        <v>Copri candela</v>
      </c>
      <c r="D158" s="5">
        <f t="shared" si="108"/>
        <v>4</v>
      </c>
      <c r="E158" s="5">
        <f t="shared" si="108"/>
        <v>5</v>
      </c>
      <c r="F158" s="5">
        <f t="shared" si="108"/>
        <v>0.34</v>
      </c>
      <c r="G158" s="5">
        <f t="shared" si="108"/>
        <v>34</v>
      </c>
      <c r="H158" s="4">
        <f t="shared" si="108"/>
        <v>2.3780405299999999E-4</v>
      </c>
      <c r="I158" s="6">
        <f t="shared" si="108"/>
        <v>0.66056681388888883</v>
      </c>
      <c r="J158" s="6">
        <f t="shared" si="108"/>
        <v>0.59451013249999995</v>
      </c>
      <c r="R158" s="23">
        <v>0</v>
      </c>
      <c r="S158" s="6">
        <f t="shared" si="106"/>
        <v>0</v>
      </c>
      <c r="T158" s="6">
        <f t="shared" si="109"/>
        <v>0</v>
      </c>
      <c r="U158" s="4">
        <f t="shared" si="110"/>
        <v>0</v>
      </c>
      <c r="V158" s="115">
        <f>+S158*$M$3/'COST DATA'!$D$26</f>
        <v>0</v>
      </c>
      <c r="W158" s="16">
        <f t="shared" si="111"/>
        <v>0</v>
      </c>
      <c r="X158" s="27">
        <f t="shared" si="112"/>
        <v>0</v>
      </c>
      <c r="Y158" s="27">
        <f t="shared" si="113"/>
        <v>0</v>
      </c>
      <c r="Z158" s="4">
        <f t="shared" si="114"/>
        <v>0</v>
      </c>
      <c r="AA158" s="82">
        <f>+'Finished goods'!$O$3*'PRIVATE CUSTOMER (BtoC)'!T158</f>
        <v>0</v>
      </c>
      <c r="AB158" s="82">
        <f>+'Finished goods'!$P$13*R158</f>
        <v>0</v>
      </c>
      <c r="AC158" s="83">
        <f t="shared" si="115"/>
        <v>0</v>
      </c>
      <c r="AD158" s="93" t="e">
        <f t="shared" si="116"/>
        <v>#DIV/0!</v>
      </c>
      <c r="AE158" s="93">
        <f>+'REVENUE DATA'!$D$13</f>
        <v>75</v>
      </c>
      <c r="AF158" s="90" t="e">
        <f t="shared" si="117"/>
        <v>#DIV/0!</v>
      </c>
      <c r="AG158" s="91" t="e">
        <f t="shared" si="118"/>
        <v>#DIV/0!</v>
      </c>
      <c r="AH158" s="92">
        <f t="shared" si="119"/>
        <v>0</v>
      </c>
    </row>
    <row r="159" spans="1:34" x14ac:dyDescent="0.3">
      <c r="A159" s="223"/>
      <c r="B159" s="4"/>
      <c r="C159" s="4" t="str">
        <f t="shared" si="108"/>
        <v xml:space="preserve">Vaso Grosso </v>
      </c>
      <c r="D159" s="5">
        <f t="shared" si="108"/>
        <v>4</v>
      </c>
      <c r="E159" s="5">
        <f t="shared" si="108"/>
        <v>5</v>
      </c>
      <c r="F159" s="5">
        <f t="shared" si="108"/>
        <v>1.31</v>
      </c>
      <c r="G159" s="5">
        <f t="shared" si="108"/>
        <v>91</v>
      </c>
      <c r="H159" s="4">
        <f t="shared" si="108"/>
        <v>9.52764444E-4</v>
      </c>
      <c r="I159" s="6">
        <f t="shared" si="108"/>
        <v>2.6465679</v>
      </c>
      <c r="J159" s="6">
        <f t="shared" si="108"/>
        <v>2.3819111099999999</v>
      </c>
      <c r="R159" s="23">
        <v>0</v>
      </c>
      <c r="S159" s="6">
        <f t="shared" si="106"/>
        <v>0</v>
      </c>
      <c r="T159" s="6">
        <f t="shared" si="109"/>
        <v>0</v>
      </c>
      <c r="U159" s="4">
        <f t="shared" si="110"/>
        <v>0</v>
      </c>
      <c r="V159" s="115">
        <f>+S159*$M$3/'COST DATA'!$D$26</f>
        <v>0</v>
      </c>
      <c r="W159" s="16">
        <f t="shared" si="111"/>
        <v>0</v>
      </c>
      <c r="X159" s="27">
        <f t="shared" si="112"/>
        <v>0</v>
      </c>
      <c r="Y159" s="27">
        <f t="shared" si="113"/>
        <v>0</v>
      </c>
      <c r="Z159" s="4">
        <f t="shared" si="114"/>
        <v>0</v>
      </c>
      <c r="AA159" s="82">
        <f>+'Finished goods'!$O$3*'PRIVATE CUSTOMER (BtoC)'!T159</f>
        <v>0</v>
      </c>
      <c r="AB159" s="82">
        <f>+'Finished goods'!$P$14*R159</f>
        <v>0</v>
      </c>
      <c r="AC159" s="83">
        <f t="shared" si="115"/>
        <v>0</v>
      </c>
      <c r="AD159" s="93" t="e">
        <f t="shared" si="116"/>
        <v>#DIV/0!</v>
      </c>
      <c r="AE159" s="93">
        <f>+'REVENUE DATA'!$D$14</f>
        <v>250</v>
      </c>
      <c r="AF159" s="90" t="e">
        <f t="shared" si="117"/>
        <v>#DIV/0!</v>
      </c>
      <c r="AG159" s="91" t="e">
        <f t="shared" si="118"/>
        <v>#DIV/0!</v>
      </c>
      <c r="AH159" s="92">
        <f t="shared" si="119"/>
        <v>0</v>
      </c>
    </row>
    <row r="160" spans="1:34" x14ac:dyDescent="0.3">
      <c r="A160" s="223"/>
      <c r="B160" s="4"/>
      <c r="C160" s="4" t="str">
        <f t="shared" si="108"/>
        <v>Bicchiere curve dritto</v>
      </c>
      <c r="D160" s="5">
        <f t="shared" si="108"/>
        <v>2</v>
      </c>
      <c r="E160" s="5">
        <f t="shared" si="108"/>
        <v>2</v>
      </c>
      <c r="F160" s="5">
        <f t="shared" si="108"/>
        <v>0.26</v>
      </c>
      <c r="G160" s="5">
        <f t="shared" si="108"/>
        <v>26</v>
      </c>
      <c r="H160" s="4">
        <f t="shared" si="108"/>
        <v>1.6928511099999999E-4</v>
      </c>
      <c r="I160" s="6">
        <f t="shared" si="108"/>
        <v>0.47023641944444439</v>
      </c>
      <c r="J160" s="6">
        <f t="shared" si="108"/>
        <v>0.42321277749999997</v>
      </c>
      <c r="R160" s="23">
        <v>0</v>
      </c>
      <c r="S160" s="6">
        <f t="shared" si="106"/>
        <v>0</v>
      </c>
      <c r="T160" s="6">
        <f t="shared" si="109"/>
        <v>0</v>
      </c>
      <c r="U160" s="4">
        <f t="shared" si="110"/>
        <v>0</v>
      </c>
      <c r="V160" s="115">
        <f>+S160*$M$3/'COST DATA'!$D$26</f>
        <v>0</v>
      </c>
      <c r="W160" s="16">
        <f t="shared" si="111"/>
        <v>0</v>
      </c>
      <c r="X160" s="27">
        <f t="shared" si="112"/>
        <v>0</v>
      </c>
      <c r="Y160" s="27">
        <f t="shared" si="113"/>
        <v>0</v>
      </c>
      <c r="Z160" s="4">
        <f t="shared" si="114"/>
        <v>0</v>
      </c>
      <c r="AA160" s="82">
        <f>+'Finished goods'!$O$3*'PRIVATE CUSTOMER (BtoC)'!T160</f>
        <v>0</v>
      </c>
      <c r="AB160" s="82">
        <f>+'Finished goods'!$P$15*R160</f>
        <v>0</v>
      </c>
      <c r="AC160" s="83">
        <f t="shared" si="115"/>
        <v>0</v>
      </c>
      <c r="AD160" s="93" t="e">
        <f t="shared" si="116"/>
        <v>#DIV/0!</v>
      </c>
      <c r="AE160" s="93">
        <f>+'REVENUE DATA'!$D$15</f>
        <v>0</v>
      </c>
      <c r="AF160" s="90" t="e">
        <f t="shared" si="117"/>
        <v>#DIV/0!</v>
      </c>
      <c r="AG160" s="91" t="e">
        <f t="shared" si="118"/>
        <v>#DIV/0!</v>
      </c>
      <c r="AH160" s="92">
        <f t="shared" si="119"/>
        <v>0</v>
      </c>
    </row>
    <row r="161" spans="1:34" x14ac:dyDescent="0.3">
      <c r="A161" s="223"/>
      <c r="B161" s="4"/>
      <c r="C161" s="4" t="str">
        <f t="shared" si="108"/>
        <v>Bicchiere curve twist</v>
      </c>
      <c r="D161" s="5">
        <f t="shared" si="108"/>
        <v>2</v>
      </c>
      <c r="E161" s="5">
        <f t="shared" si="108"/>
        <v>2</v>
      </c>
      <c r="F161" s="5">
        <f t="shared" si="108"/>
        <v>0.25</v>
      </c>
      <c r="G161" s="5">
        <f t="shared" si="108"/>
        <v>25</v>
      </c>
      <c r="H161" s="4">
        <f t="shared" si="108"/>
        <v>1.69285896E-4</v>
      </c>
      <c r="I161" s="6">
        <f t="shared" si="108"/>
        <v>0.47023859999999995</v>
      </c>
      <c r="J161" s="6">
        <f t="shared" si="108"/>
        <v>0.42321473999999998</v>
      </c>
      <c r="R161" s="23">
        <v>0</v>
      </c>
      <c r="S161" s="6">
        <f t="shared" si="106"/>
        <v>0</v>
      </c>
      <c r="T161" s="6">
        <f t="shared" si="109"/>
        <v>0</v>
      </c>
      <c r="U161" s="4">
        <f t="shared" si="110"/>
        <v>0</v>
      </c>
      <c r="V161" s="115">
        <f>+S161*$M$3/'COST DATA'!$D$26</f>
        <v>0</v>
      </c>
      <c r="W161" s="16">
        <f t="shared" si="111"/>
        <v>0</v>
      </c>
      <c r="X161" s="27">
        <f t="shared" si="112"/>
        <v>0</v>
      </c>
      <c r="Y161" s="27">
        <f t="shared" si="113"/>
        <v>0</v>
      </c>
      <c r="Z161" s="4">
        <f t="shared" si="114"/>
        <v>0</v>
      </c>
      <c r="AA161" s="82">
        <f>+'Finished goods'!$O$3*'PRIVATE CUSTOMER (BtoC)'!T161</f>
        <v>0</v>
      </c>
      <c r="AB161" s="82">
        <f>+'Finished goods'!$P$16*R161</f>
        <v>0</v>
      </c>
      <c r="AC161" s="83">
        <f t="shared" si="115"/>
        <v>0</v>
      </c>
      <c r="AD161" s="93" t="e">
        <f t="shared" si="116"/>
        <v>#DIV/0!</v>
      </c>
      <c r="AE161" s="93">
        <f>+'REVENUE DATA'!$D$16</f>
        <v>0</v>
      </c>
      <c r="AF161" s="90" t="e">
        <f t="shared" si="117"/>
        <v>#DIV/0!</v>
      </c>
      <c r="AG161" s="91" t="e">
        <f t="shared" si="118"/>
        <v>#DIV/0!</v>
      </c>
      <c r="AH161" s="92">
        <f t="shared" si="119"/>
        <v>0</v>
      </c>
    </row>
    <row r="162" spans="1:34" x14ac:dyDescent="0.3">
      <c r="A162" s="223"/>
      <c r="B162" s="4"/>
      <c r="C162" s="4" t="str">
        <f t="shared" si="108"/>
        <v>Caraffa curva</v>
      </c>
      <c r="D162" s="5">
        <f t="shared" si="108"/>
        <v>2</v>
      </c>
      <c r="E162" s="5">
        <f t="shared" si="108"/>
        <v>2</v>
      </c>
      <c r="F162" s="5">
        <f t="shared" si="108"/>
        <v>0.56999999999999995</v>
      </c>
      <c r="G162" s="5">
        <f t="shared" si="108"/>
        <v>57</v>
      </c>
      <c r="H162" s="4">
        <f t="shared" si="108"/>
        <v>3.69342133E-4</v>
      </c>
      <c r="I162" s="6">
        <f t="shared" si="108"/>
        <v>1.0259503694444445</v>
      </c>
      <c r="J162" s="6">
        <f t="shared" si="108"/>
        <v>0.92335533250000001</v>
      </c>
      <c r="R162" s="23">
        <v>0</v>
      </c>
      <c r="S162" s="6">
        <f t="shared" si="106"/>
        <v>0</v>
      </c>
      <c r="T162" s="6">
        <f t="shared" si="109"/>
        <v>0</v>
      </c>
      <c r="U162" s="4">
        <f t="shared" si="110"/>
        <v>0</v>
      </c>
      <c r="V162" s="115">
        <f>+S162*$M$3/'COST DATA'!$D$26</f>
        <v>0</v>
      </c>
      <c r="W162" s="16">
        <f>+U162*$N$3</f>
        <v>0</v>
      </c>
      <c r="X162" s="27">
        <f t="shared" si="112"/>
        <v>0</v>
      </c>
      <c r="Y162" s="27">
        <f t="shared" si="113"/>
        <v>0</v>
      </c>
      <c r="Z162" s="4">
        <f t="shared" si="114"/>
        <v>0</v>
      </c>
      <c r="AA162" s="82">
        <f>+'Finished goods'!$O$3*'PRIVATE CUSTOMER (BtoC)'!T162</f>
        <v>0</v>
      </c>
      <c r="AB162" s="82">
        <f>+'Finished goods'!$P$17*R162</f>
        <v>0</v>
      </c>
      <c r="AC162" s="83">
        <f t="shared" si="115"/>
        <v>0</v>
      </c>
      <c r="AD162" s="93" t="e">
        <f t="shared" si="116"/>
        <v>#DIV/0!</v>
      </c>
      <c r="AE162" s="93">
        <f>+'REVENUE DATA'!$D$17</f>
        <v>30</v>
      </c>
      <c r="AF162" s="90" t="e">
        <f t="shared" si="117"/>
        <v>#DIV/0!</v>
      </c>
      <c r="AG162" s="91" t="e">
        <f t="shared" si="118"/>
        <v>#DIV/0!</v>
      </c>
      <c r="AH162" s="92">
        <f t="shared" si="119"/>
        <v>0</v>
      </c>
    </row>
    <row r="163" spans="1:34" x14ac:dyDescent="0.3">
      <c r="A163" s="223"/>
      <c r="B163" s="4"/>
      <c r="C163" s="4" t="str">
        <f t="shared" si="108"/>
        <v>Caraffa colonna dritta</v>
      </c>
      <c r="D163" s="5">
        <f t="shared" si="108"/>
        <v>2</v>
      </c>
      <c r="E163" s="5">
        <f t="shared" si="108"/>
        <v>1</v>
      </c>
      <c r="F163" s="5">
        <f t="shared" si="108"/>
        <v>1.4</v>
      </c>
      <c r="G163" s="5">
        <f t="shared" si="108"/>
        <v>100</v>
      </c>
      <c r="H163" s="4">
        <f t="shared" si="108"/>
        <v>3.2796365999999998E-4</v>
      </c>
      <c r="I163" s="6">
        <f t="shared" si="108"/>
        <v>0.91101016666666657</v>
      </c>
      <c r="J163" s="6">
        <f t="shared" si="108"/>
        <v>0.81990914999999998</v>
      </c>
      <c r="R163" s="23">
        <v>0</v>
      </c>
      <c r="S163" s="6">
        <f t="shared" si="106"/>
        <v>0</v>
      </c>
      <c r="T163" s="6">
        <f t="shared" si="109"/>
        <v>0</v>
      </c>
      <c r="U163" s="4">
        <f t="shared" si="110"/>
        <v>0</v>
      </c>
      <c r="V163" s="115">
        <f>+S163*$M$3/'COST DATA'!$D$26</f>
        <v>0</v>
      </c>
      <c r="W163" s="16">
        <f t="shared" ref="W163:W172" si="120">+U163*$N$3</f>
        <v>0</v>
      </c>
      <c r="X163" s="27">
        <f t="shared" si="112"/>
        <v>0</v>
      </c>
      <c r="Y163" s="27">
        <f t="shared" si="113"/>
        <v>0</v>
      </c>
      <c r="Z163" s="4">
        <f t="shared" si="114"/>
        <v>0</v>
      </c>
      <c r="AA163" s="82">
        <f>+'Finished goods'!$O$3*'PRIVATE CUSTOMER (BtoC)'!T163</f>
        <v>0</v>
      </c>
      <c r="AB163" s="82">
        <f>+'Finished goods'!$P$18*R163</f>
        <v>0</v>
      </c>
      <c r="AC163" s="83">
        <f t="shared" si="115"/>
        <v>0</v>
      </c>
      <c r="AD163" s="93" t="e">
        <f t="shared" si="116"/>
        <v>#DIV/0!</v>
      </c>
      <c r="AE163" s="93">
        <f>+'REVENUE DATA'!$D$18</f>
        <v>30</v>
      </c>
      <c r="AF163" s="90" t="e">
        <f t="shared" si="117"/>
        <v>#DIV/0!</v>
      </c>
      <c r="AG163" s="91" t="e">
        <f t="shared" si="118"/>
        <v>#DIV/0!</v>
      </c>
      <c r="AH163" s="92">
        <f t="shared" si="119"/>
        <v>0</v>
      </c>
    </row>
    <row r="164" spans="1:34" x14ac:dyDescent="0.3">
      <c r="A164" s="223"/>
      <c r="B164" s="4"/>
      <c r="C164" s="4" t="str">
        <f t="shared" si="108"/>
        <v>Caraffa colonna twist1</v>
      </c>
      <c r="D164" s="5">
        <f t="shared" si="108"/>
        <v>2</v>
      </c>
      <c r="E164" s="5">
        <f t="shared" si="108"/>
        <v>1</v>
      </c>
      <c r="F164" s="5">
        <f t="shared" si="108"/>
        <v>1.41</v>
      </c>
      <c r="G164" s="5">
        <f t="shared" si="108"/>
        <v>101</v>
      </c>
      <c r="H164" s="4">
        <f t="shared" si="108"/>
        <v>3.323221E-4</v>
      </c>
      <c r="I164" s="6">
        <f t="shared" si="108"/>
        <v>0.92311694444444448</v>
      </c>
      <c r="J164" s="6">
        <f t="shared" si="108"/>
        <v>0.83080525000000005</v>
      </c>
      <c r="R164" s="23">
        <v>0</v>
      </c>
      <c r="S164" s="6">
        <f t="shared" si="106"/>
        <v>0</v>
      </c>
      <c r="T164" s="6">
        <f t="shared" si="109"/>
        <v>0</v>
      </c>
      <c r="U164" s="4">
        <f t="shared" si="110"/>
        <v>0</v>
      </c>
      <c r="V164" s="115">
        <f>+S164*$M$3/'COST DATA'!$D$26</f>
        <v>0</v>
      </c>
      <c r="W164" s="16">
        <f t="shared" si="120"/>
        <v>0</v>
      </c>
      <c r="X164" s="27">
        <f t="shared" si="112"/>
        <v>0</v>
      </c>
      <c r="Y164" s="27">
        <f t="shared" si="113"/>
        <v>0</v>
      </c>
      <c r="Z164" s="4">
        <f t="shared" si="114"/>
        <v>0</v>
      </c>
      <c r="AA164" s="82">
        <f>+'Finished goods'!$O$3*'PRIVATE CUSTOMER (BtoC)'!T164</f>
        <v>0</v>
      </c>
      <c r="AB164" s="82">
        <f>+'Finished goods'!$P$19*R164</f>
        <v>0</v>
      </c>
      <c r="AC164" s="83">
        <f t="shared" si="115"/>
        <v>0</v>
      </c>
      <c r="AD164" s="93" t="e">
        <f t="shared" si="116"/>
        <v>#DIV/0!</v>
      </c>
      <c r="AE164" s="93">
        <f>+'REVENUE DATA'!$D$19</f>
        <v>30</v>
      </c>
      <c r="AF164" s="90" t="e">
        <f t="shared" si="117"/>
        <v>#DIV/0!</v>
      </c>
      <c r="AG164" s="91" t="e">
        <f t="shared" si="118"/>
        <v>#DIV/0!</v>
      </c>
      <c r="AH164" s="92">
        <f t="shared" si="119"/>
        <v>0</v>
      </c>
    </row>
    <row r="165" spans="1:34" x14ac:dyDescent="0.3">
      <c r="A165" s="223"/>
      <c r="B165" s="4"/>
      <c r="C165" s="4" t="str">
        <f t="shared" si="108"/>
        <v>Caraffa colonna twist2</v>
      </c>
      <c r="D165" s="5">
        <f t="shared" si="108"/>
        <v>2</v>
      </c>
      <c r="E165" s="5">
        <f t="shared" si="108"/>
        <v>1</v>
      </c>
      <c r="F165" s="5">
        <f t="shared" si="108"/>
        <v>1.45</v>
      </c>
      <c r="G165" s="5">
        <f t="shared" si="108"/>
        <v>105</v>
      </c>
      <c r="H165" s="4">
        <f t="shared" si="108"/>
        <v>3.4271101000000001E-4</v>
      </c>
      <c r="I165" s="6">
        <f t="shared" si="108"/>
        <v>0.95197502777777776</v>
      </c>
      <c r="J165" s="6">
        <f t="shared" si="108"/>
        <v>0.85677752500000004</v>
      </c>
      <c r="R165" s="23">
        <v>0</v>
      </c>
      <c r="S165" s="6">
        <f t="shared" si="106"/>
        <v>0</v>
      </c>
      <c r="T165" s="6">
        <f t="shared" si="109"/>
        <v>0</v>
      </c>
      <c r="U165" s="4">
        <f t="shared" si="110"/>
        <v>0</v>
      </c>
      <c r="V165" s="115">
        <f>+S165*$M$3/'COST DATA'!$D$26</f>
        <v>0</v>
      </c>
      <c r="W165" s="16">
        <f t="shared" si="120"/>
        <v>0</v>
      </c>
      <c r="X165" s="27">
        <f t="shared" si="112"/>
        <v>0</v>
      </c>
      <c r="Y165" s="27">
        <f t="shared" si="113"/>
        <v>0</v>
      </c>
      <c r="Z165" s="4">
        <f t="shared" si="114"/>
        <v>0</v>
      </c>
      <c r="AA165" s="82">
        <f>+'Finished goods'!$O$3*'PRIVATE CUSTOMER (BtoC)'!T165</f>
        <v>0</v>
      </c>
      <c r="AB165" s="82">
        <f>+'Finished goods'!$P$20*R165</f>
        <v>0</v>
      </c>
      <c r="AC165" s="83">
        <f t="shared" si="115"/>
        <v>0</v>
      </c>
      <c r="AD165" s="93" t="e">
        <f t="shared" si="116"/>
        <v>#DIV/0!</v>
      </c>
      <c r="AE165" s="93">
        <f>+'REVENUE DATA'!$D$20</f>
        <v>30</v>
      </c>
      <c r="AF165" s="90" t="e">
        <f t="shared" si="117"/>
        <v>#DIV/0!</v>
      </c>
      <c r="AG165" s="91" t="e">
        <f t="shared" si="118"/>
        <v>#DIV/0!</v>
      </c>
      <c r="AH165" s="92">
        <f t="shared" si="119"/>
        <v>0</v>
      </c>
    </row>
    <row r="166" spans="1:34" x14ac:dyDescent="0.3">
      <c r="A166" s="223"/>
      <c r="B166" s="4"/>
      <c r="C166" s="4" t="str">
        <f t="shared" si="108"/>
        <v>Caraffa colonna twist3</v>
      </c>
      <c r="D166" s="5">
        <f t="shared" si="108"/>
        <v>2</v>
      </c>
      <c r="E166" s="5">
        <f t="shared" si="108"/>
        <v>1</v>
      </c>
      <c r="F166" s="5">
        <f t="shared" si="108"/>
        <v>1.42</v>
      </c>
      <c r="G166" s="5">
        <f t="shared" si="108"/>
        <v>102</v>
      </c>
      <c r="H166" s="4">
        <f t="shared" si="108"/>
        <v>3.3727121999999998E-4</v>
      </c>
      <c r="I166" s="6">
        <f t="shared" si="108"/>
        <v>0.93686449999999988</v>
      </c>
      <c r="J166" s="6">
        <f t="shared" si="108"/>
        <v>0.8431780499999999</v>
      </c>
      <c r="R166" s="23">
        <v>0</v>
      </c>
      <c r="S166" s="6">
        <f t="shared" si="106"/>
        <v>0</v>
      </c>
      <c r="T166" s="6">
        <f t="shared" si="109"/>
        <v>0</v>
      </c>
      <c r="U166" s="4">
        <f t="shared" si="110"/>
        <v>0</v>
      </c>
      <c r="V166" s="115">
        <f>+S166*$M$3/'COST DATA'!$D$26</f>
        <v>0</v>
      </c>
      <c r="W166" s="16">
        <f t="shared" si="120"/>
        <v>0</v>
      </c>
      <c r="X166" s="27">
        <f t="shared" si="112"/>
        <v>0</v>
      </c>
      <c r="Y166" s="27">
        <f t="shared" si="113"/>
        <v>0</v>
      </c>
      <c r="Z166" s="4">
        <f t="shared" si="114"/>
        <v>0</v>
      </c>
      <c r="AA166" s="82">
        <f>+'Finished goods'!$O$3*'PRIVATE CUSTOMER (BtoC)'!T166</f>
        <v>0</v>
      </c>
      <c r="AB166" s="82">
        <f>+'Finished goods'!$P$21*R166</f>
        <v>0</v>
      </c>
      <c r="AC166" s="83">
        <f t="shared" si="115"/>
        <v>0</v>
      </c>
      <c r="AD166" s="93" t="e">
        <f t="shared" si="116"/>
        <v>#DIV/0!</v>
      </c>
      <c r="AE166" s="93">
        <f>+'REVENUE DATA'!$D$21</f>
        <v>30</v>
      </c>
      <c r="AF166" s="90" t="e">
        <f t="shared" si="117"/>
        <v>#DIV/0!</v>
      </c>
      <c r="AG166" s="91" t="e">
        <f t="shared" si="118"/>
        <v>#DIV/0!</v>
      </c>
      <c r="AH166" s="92">
        <f t="shared" si="119"/>
        <v>0</v>
      </c>
    </row>
    <row r="167" spans="1:34" x14ac:dyDescent="0.3">
      <c r="A167" s="223"/>
      <c r="B167" s="4"/>
      <c r="C167" s="4" t="str">
        <f t="shared" si="108"/>
        <v>Bicchiere colonna twist1</v>
      </c>
      <c r="D167" s="5">
        <f t="shared" si="108"/>
        <v>1</v>
      </c>
      <c r="E167" s="5">
        <f t="shared" si="108"/>
        <v>1</v>
      </c>
      <c r="F167" s="5">
        <f t="shared" si="108"/>
        <v>0.57999999999999996</v>
      </c>
      <c r="G167" s="5">
        <f t="shared" si="108"/>
        <v>58</v>
      </c>
      <c r="H167" s="4">
        <f t="shared" si="108"/>
        <v>9.7981700000000004E-5</v>
      </c>
      <c r="I167" s="6">
        <f t="shared" si="108"/>
        <v>0.27217138888888892</v>
      </c>
      <c r="J167" s="6">
        <f t="shared" si="108"/>
        <v>0.24495425000000001</v>
      </c>
      <c r="R167" s="23">
        <v>0</v>
      </c>
      <c r="S167" s="6">
        <f t="shared" si="106"/>
        <v>0</v>
      </c>
      <c r="T167" s="6">
        <f t="shared" si="109"/>
        <v>0</v>
      </c>
      <c r="U167" s="4">
        <f t="shared" si="110"/>
        <v>0</v>
      </c>
      <c r="V167" s="115">
        <f>+S167*$M$3/'COST DATA'!$D$26</f>
        <v>0</v>
      </c>
      <c r="W167" s="16">
        <f t="shared" si="120"/>
        <v>0</v>
      </c>
      <c r="X167" s="27">
        <f t="shared" si="112"/>
        <v>0</v>
      </c>
      <c r="Y167" s="27">
        <f t="shared" si="113"/>
        <v>0</v>
      </c>
      <c r="Z167" s="4">
        <f t="shared" si="114"/>
        <v>0</v>
      </c>
      <c r="AA167" s="82">
        <f>+'Finished goods'!$O$3*'PRIVATE CUSTOMER (BtoC)'!T167</f>
        <v>0</v>
      </c>
      <c r="AB167" s="82">
        <f>+'Finished goods'!$P$22*R167</f>
        <v>0</v>
      </c>
      <c r="AC167" s="83">
        <f t="shared" si="115"/>
        <v>0</v>
      </c>
      <c r="AD167" s="93" t="e">
        <f t="shared" si="116"/>
        <v>#DIV/0!</v>
      </c>
      <c r="AE167" s="93">
        <f>+'REVENUE DATA'!$D$22</f>
        <v>0</v>
      </c>
      <c r="AF167" s="90" t="e">
        <f t="shared" si="117"/>
        <v>#DIV/0!</v>
      </c>
      <c r="AG167" s="91" t="e">
        <f t="shared" si="118"/>
        <v>#DIV/0!</v>
      </c>
      <c r="AH167" s="92">
        <f t="shared" si="119"/>
        <v>0</v>
      </c>
    </row>
    <row r="168" spans="1:34" x14ac:dyDescent="0.3">
      <c r="A168" s="223"/>
      <c r="B168" s="4"/>
      <c r="C168" s="4" t="str">
        <f t="shared" si="108"/>
        <v>Bicchiere colonna twist2</v>
      </c>
      <c r="D168" s="5">
        <f t="shared" si="108"/>
        <v>1</v>
      </c>
      <c r="E168" s="5">
        <f t="shared" si="108"/>
        <v>1</v>
      </c>
      <c r="F168" s="5">
        <f t="shared" si="108"/>
        <v>0.59</v>
      </c>
      <c r="G168" s="5">
        <f t="shared" si="108"/>
        <v>59</v>
      </c>
      <c r="H168" s="4">
        <f t="shared" si="108"/>
        <v>9.7982366999999995E-5</v>
      </c>
      <c r="I168" s="6">
        <f t="shared" si="108"/>
        <v>0.27217324166666662</v>
      </c>
      <c r="J168" s="6">
        <f t="shared" si="108"/>
        <v>0.24495591749999998</v>
      </c>
      <c r="R168" s="23">
        <v>0</v>
      </c>
      <c r="S168" s="6">
        <f t="shared" si="106"/>
        <v>0</v>
      </c>
      <c r="T168" s="6">
        <f t="shared" si="109"/>
        <v>0</v>
      </c>
      <c r="U168" s="4">
        <f t="shared" si="110"/>
        <v>0</v>
      </c>
      <c r="V168" s="115">
        <f>+S168*$M$3/'COST DATA'!$D$26</f>
        <v>0</v>
      </c>
      <c r="W168" s="16">
        <f t="shared" si="120"/>
        <v>0</v>
      </c>
      <c r="X168" s="27">
        <f t="shared" si="112"/>
        <v>0</v>
      </c>
      <c r="Y168" s="27">
        <f t="shared" si="113"/>
        <v>0</v>
      </c>
      <c r="Z168" s="4">
        <f t="shared" si="114"/>
        <v>0</v>
      </c>
      <c r="AA168" s="82">
        <f>+'Finished goods'!$O$3*'PRIVATE CUSTOMER (BtoC)'!T168</f>
        <v>0</v>
      </c>
      <c r="AB168" s="82">
        <f>+'Finished goods'!$P$23*R168</f>
        <v>0</v>
      </c>
      <c r="AC168" s="83">
        <f t="shared" si="115"/>
        <v>0</v>
      </c>
      <c r="AD168" s="93" t="e">
        <f t="shared" si="116"/>
        <v>#DIV/0!</v>
      </c>
      <c r="AE168" s="93">
        <f>+'REVENUE DATA'!$D$23</f>
        <v>0</v>
      </c>
      <c r="AF168" s="90" t="e">
        <f t="shared" si="117"/>
        <v>#DIV/0!</v>
      </c>
      <c r="AG168" s="91" t="e">
        <f t="shared" si="118"/>
        <v>#DIV/0!</v>
      </c>
      <c r="AH168" s="92">
        <f t="shared" si="119"/>
        <v>0</v>
      </c>
    </row>
    <row r="169" spans="1:34" x14ac:dyDescent="0.3">
      <c r="A169" s="223"/>
      <c r="B169" s="4"/>
      <c r="C169" s="4" t="str">
        <f t="shared" si="108"/>
        <v>Bicchiere colonna twist3</v>
      </c>
      <c r="D169" s="5">
        <f t="shared" si="108"/>
        <v>1</v>
      </c>
      <c r="E169" s="5">
        <f t="shared" si="108"/>
        <v>1</v>
      </c>
      <c r="F169" s="5">
        <f t="shared" si="108"/>
        <v>0.59</v>
      </c>
      <c r="G169" s="5">
        <f t="shared" si="108"/>
        <v>59</v>
      </c>
      <c r="H169" s="4">
        <f t="shared" si="108"/>
        <v>9.7984652999999995E-5</v>
      </c>
      <c r="I169" s="6">
        <f t="shared" si="108"/>
        <v>0.27217959166666666</v>
      </c>
      <c r="J169" s="6">
        <f t="shared" si="108"/>
        <v>0.2449616325</v>
      </c>
      <c r="R169" s="23">
        <v>0</v>
      </c>
      <c r="S169" s="6">
        <f t="shared" si="106"/>
        <v>0</v>
      </c>
      <c r="T169" s="6">
        <f t="shared" si="109"/>
        <v>0</v>
      </c>
      <c r="U169" s="4">
        <f t="shared" si="110"/>
        <v>0</v>
      </c>
      <c r="V169" s="115">
        <f>+S169*$M$3/'COST DATA'!$D$26</f>
        <v>0</v>
      </c>
      <c r="W169" s="16">
        <f t="shared" si="120"/>
        <v>0</v>
      </c>
      <c r="X169" s="27">
        <f t="shared" si="112"/>
        <v>0</v>
      </c>
      <c r="Y169" s="27">
        <f t="shared" si="113"/>
        <v>0</v>
      </c>
      <c r="Z169" s="4">
        <f t="shared" si="114"/>
        <v>0</v>
      </c>
      <c r="AA169" s="82">
        <f>+'Finished goods'!$O$3*'PRIVATE CUSTOMER (BtoC)'!T169</f>
        <v>0</v>
      </c>
      <c r="AB169" s="82">
        <f>+'Finished goods'!$P$24*R169</f>
        <v>0</v>
      </c>
      <c r="AC169" s="83">
        <f t="shared" si="115"/>
        <v>0</v>
      </c>
      <c r="AD169" s="93" t="e">
        <f t="shared" si="116"/>
        <v>#DIV/0!</v>
      </c>
      <c r="AE169" s="93">
        <f>+'REVENUE DATA'!$D$24</f>
        <v>0</v>
      </c>
      <c r="AF169" s="90" t="e">
        <f t="shared" si="117"/>
        <v>#DIV/0!</v>
      </c>
      <c r="AG169" s="91" t="e">
        <f t="shared" si="118"/>
        <v>#DIV/0!</v>
      </c>
      <c r="AH169" s="92">
        <f t="shared" si="119"/>
        <v>0</v>
      </c>
    </row>
    <row r="170" spans="1:34" x14ac:dyDescent="0.3">
      <c r="A170" s="223"/>
      <c r="B170" s="4"/>
      <c r="C170" s="4" t="str">
        <f t="shared" si="108"/>
        <v>Bicchiere colonna twist alto</v>
      </c>
      <c r="D170" s="5">
        <f t="shared" si="108"/>
        <v>1</v>
      </c>
      <c r="E170" s="5">
        <f t="shared" si="108"/>
        <v>1</v>
      </c>
      <c r="F170" s="5">
        <f t="shared" si="108"/>
        <v>0.57999999999999996</v>
      </c>
      <c r="G170" s="5">
        <f t="shared" si="108"/>
        <v>58</v>
      </c>
      <c r="H170" s="4">
        <f t="shared" si="108"/>
        <v>9.4065272999999995E-5</v>
      </c>
      <c r="I170" s="6">
        <f t="shared" si="108"/>
        <v>0.26129242499999999</v>
      </c>
      <c r="J170" s="6">
        <f t="shared" si="108"/>
        <v>0.23516318249999998</v>
      </c>
      <c r="R170" s="23">
        <v>0</v>
      </c>
      <c r="S170" s="6">
        <f t="shared" si="106"/>
        <v>0</v>
      </c>
      <c r="T170" s="6">
        <f t="shared" si="109"/>
        <v>0</v>
      </c>
      <c r="U170" s="4">
        <f t="shared" si="110"/>
        <v>0</v>
      </c>
      <c r="V170" s="115">
        <f>+S170*$M$3/'COST DATA'!$D$26</f>
        <v>0</v>
      </c>
      <c r="W170" s="16">
        <f t="shared" si="120"/>
        <v>0</v>
      </c>
      <c r="X170" s="27">
        <f t="shared" si="112"/>
        <v>0</v>
      </c>
      <c r="Y170" s="27">
        <f t="shared" si="113"/>
        <v>0</v>
      </c>
      <c r="Z170" s="4">
        <f t="shared" si="114"/>
        <v>0</v>
      </c>
      <c r="AA170" s="82">
        <f>+'Finished goods'!$O$3*'PRIVATE CUSTOMER (BtoC)'!T170</f>
        <v>0</v>
      </c>
      <c r="AB170" s="82">
        <f>+'Finished goods'!$P$25*R170</f>
        <v>0</v>
      </c>
      <c r="AC170" s="83">
        <f t="shared" si="115"/>
        <v>0</v>
      </c>
      <c r="AD170" s="93" t="e">
        <f t="shared" si="116"/>
        <v>#DIV/0!</v>
      </c>
      <c r="AE170" s="93">
        <f>+'REVENUE DATA'!$D$25</f>
        <v>0</v>
      </c>
      <c r="AF170" s="90" t="e">
        <f t="shared" si="117"/>
        <v>#DIV/0!</v>
      </c>
      <c r="AG170" s="91" t="e">
        <f t="shared" si="118"/>
        <v>#DIV/0!</v>
      </c>
      <c r="AH170" s="92">
        <f t="shared" si="119"/>
        <v>0</v>
      </c>
    </row>
    <row r="171" spans="1:34" x14ac:dyDescent="0.3">
      <c r="A171" s="223"/>
      <c r="B171" s="4"/>
      <c r="C171" s="4" t="str">
        <f t="shared" si="108"/>
        <v>Oliera1</v>
      </c>
      <c r="D171" s="5">
        <f t="shared" si="108"/>
        <v>2</v>
      </c>
      <c r="E171" s="5">
        <f t="shared" si="108"/>
        <v>1</v>
      </c>
      <c r="F171" s="5">
        <f t="shared" si="108"/>
        <v>0.54</v>
      </c>
      <c r="G171" s="5">
        <f t="shared" si="108"/>
        <v>54</v>
      </c>
      <c r="H171" s="4">
        <f t="shared" si="108"/>
        <v>1.830542E-4</v>
      </c>
      <c r="I171" s="6">
        <f t="shared" si="108"/>
        <v>0.50848388888888885</v>
      </c>
      <c r="J171" s="6">
        <f t="shared" si="108"/>
        <v>0.45763549999999997</v>
      </c>
      <c r="R171" s="23">
        <v>0</v>
      </c>
      <c r="S171" s="6">
        <f t="shared" si="106"/>
        <v>0</v>
      </c>
      <c r="T171" s="6">
        <f t="shared" si="109"/>
        <v>0</v>
      </c>
      <c r="U171" s="4">
        <f t="shared" si="110"/>
        <v>0</v>
      </c>
      <c r="V171" s="115">
        <f>+S171*$M$3/'COST DATA'!$D$26</f>
        <v>0</v>
      </c>
      <c r="W171" s="16">
        <f t="shared" si="120"/>
        <v>0</v>
      </c>
      <c r="X171" s="27">
        <f t="shared" si="112"/>
        <v>0</v>
      </c>
      <c r="Y171" s="27">
        <f t="shared" si="113"/>
        <v>0</v>
      </c>
      <c r="Z171" s="4">
        <f t="shared" si="114"/>
        <v>0</v>
      </c>
      <c r="AA171" s="82">
        <f>+'Finished goods'!$O$3*'PRIVATE CUSTOMER (BtoC)'!T171</f>
        <v>0</v>
      </c>
      <c r="AB171" s="82">
        <f>+'Finished goods'!$P$26*R171</f>
        <v>0</v>
      </c>
      <c r="AC171" s="83">
        <f t="shared" si="115"/>
        <v>0</v>
      </c>
      <c r="AD171" s="93" t="e">
        <f t="shared" si="116"/>
        <v>#DIV/0!</v>
      </c>
      <c r="AE171" s="93">
        <f>+'REVENUE DATA'!$D$26</f>
        <v>0</v>
      </c>
      <c r="AF171" s="90" t="e">
        <f t="shared" si="117"/>
        <v>#DIV/0!</v>
      </c>
      <c r="AG171" s="91" t="e">
        <f t="shared" si="118"/>
        <v>#DIV/0!</v>
      </c>
      <c r="AH171" s="92">
        <f t="shared" si="119"/>
        <v>0</v>
      </c>
    </row>
    <row r="172" spans="1:34" ht="15" thickBot="1" x14ac:dyDescent="0.35">
      <c r="A172" s="224"/>
      <c r="B172" s="4"/>
      <c r="C172" s="4" t="str">
        <f t="shared" si="108"/>
        <v>Piatto spirale</v>
      </c>
      <c r="D172" s="5">
        <f t="shared" si="108"/>
        <v>4</v>
      </c>
      <c r="E172" s="5">
        <f t="shared" si="108"/>
        <v>5</v>
      </c>
      <c r="F172" s="5">
        <f t="shared" si="108"/>
        <v>0.25</v>
      </c>
      <c r="G172" s="5">
        <f t="shared" si="108"/>
        <v>25</v>
      </c>
      <c r="H172" s="4">
        <f t="shared" si="108"/>
        <v>1.575448E-4</v>
      </c>
      <c r="I172" s="6">
        <f t="shared" si="108"/>
        <v>0.43762444444444443</v>
      </c>
      <c r="J172" s="6">
        <f t="shared" si="108"/>
        <v>0.39386199999999999</v>
      </c>
      <c r="R172" s="23">
        <v>0</v>
      </c>
      <c r="S172" s="6">
        <f t="shared" si="106"/>
        <v>0</v>
      </c>
      <c r="T172" s="6">
        <f t="shared" si="109"/>
        <v>0</v>
      </c>
      <c r="U172" s="4">
        <f t="shared" si="110"/>
        <v>0</v>
      </c>
      <c r="V172" s="116">
        <f>+S172*$M$3/'COST DATA'!$D$26</f>
        <v>0</v>
      </c>
      <c r="W172" s="117">
        <f t="shared" si="120"/>
        <v>0</v>
      </c>
      <c r="X172" s="118">
        <f t="shared" si="112"/>
        <v>0</v>
      </c>
      <c r="Y172" s="118">
        <f t="shared" si="113"/>
        <v>0</v>
      </c>
      <c r="Z172" s="119">
        <f t="shared" si="114"/>
        <v>0</v>
      </c>
      <c r="AA172" s="85">
        <f>+'Finished goods'!$O$3*'PRIVATE CUSTOMER (BtoC)'!T172</f>
        <v>0</v>
      </c>
      <c r="AB172" s="85">
        <f>+'Finished goods'!$P$27*R172</f>
        <v>0</v>
      </c>
      <c r="AC172" s="86">
        <f t="shared" si="115"/>
        <v>0</v>
      </c>
      <c r="AD172" s="93" t="e">
        <f t="shared" si="116"/>
        <v>#DIV/0!</v>
      </c>
      <c r="AE172" s="93">
        <f>+'REVENUE DATA'!$D$27</f>
        <v>0</v>
      </c>
      <c r="AF172" s="90" t="e">
        <f t="shared" si="117"/>
        <v>#DIV/0!</v>
      </c>
      <c r="AG172" s="91" t="e">
        <f t="shared" si="118"/>
        <v>#DIV/0!</v>
      </c>
      <c r="AH172" s="92">
        <f t="shared" si="119"/>
        <v>0</v>
      </c>
    </row>
    <row r="175" spans="1:34" ht="18.600000000000001" thickBot="1" x14ac:dyDescent="0.4">
      <c r="D175" s="237" t="s">
        <v>40</v>
      </c>
      <c r="E175" s="237"/>
      <c r="F175" s="237"/>
      <c r="G175" s="23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10" t="s">
        <v>32</v>
      </c>
      <c r="S175" s="87">
        <f>+S177/60/7</f>
        <v>0</v>
      </c>
      <c r="T175" s="88" t="s">
        <v>83</v>
      </c>
    </row>
    <row r="176" spans="1:34" x14ac:dyDescent="0.3">
      <c r="D176" s="236" t="s">
        <v>33</v>
      </c>
      <c r="E176" s="236"/>
      <c r="F176" s="236"/>
      <c r="G176" s="236"/>
      <c r="H176" s="236"/>
      <c r="I176" s="236"/>
      <c r="J176" s="236"/>
      <c r="M176" s="236" t="s">
        <v>36</v>
      </c>
      <c r="N176" s="236"/>
      <c r="O176" s="236"/>
      <c r="P176" s="236"/>
      <c r="Q176" s="236"/>
      <c r="V176" s="238" t="s">
        <v>135</v>
      </c>
      <c r="W176" s="239"/>
      <c r="X176" s="239"/>
      <c r="Y176" s="239"/>
      <c r="Z176" s="239"/>
      <c r="AA176" s="239"/>
      <c r="AB176" s="239"/>
      <c r="AC176" s="240"/>
    </row>
    <row r="177" spans="1:34" ht="18" x14ac:dyDescent="0.35">
      <c r="F177" s="225" t="s">
        <v>44</v>
      </c>
      <c r="G177" s="225"/>
      <c r="I177" s="20">
        <f>SUBTOTAL(9,I179:I201)</f>
        <v>59.570075669444442</v>
      </c>
      <c r="J177" s="20">
        <f>SUBTOTAL(9,J179:J201)</f>
        <v>53.613068102499987</v>
      </c>
      <c r="K177" s="1">
        <f>+'Finished goods'!$I$3</f>
        <v>2500</v>
      </c>
      <c r="L177" s="1">
        <f>+'Finished goods'!$J$3</f>
        <v>0.9</v>
      </c>
      <c r="M177" s="15">
        <f>+'Finished goods'!$K$3</f>
        <v>0.50772709939119998</v>
      </c>
      <c r="N177" s="15">
        <f>+'Finished goods'!$L$3</f>
        <v>6.7889999999999999E-3</v>
      </c>
      <c r="O177" s="13">
        <f>+'Finished goods'!$M$3</f>
        <v>0.15750000000000003</v>
      </c>
      <c r="P177" s="46">
        <f>+'Finished goods'!$N$3</f>
        <v>5.8880308880308881E-2</v>
      </c>
      <c r="Q177" s="1"/>
      <c r="S177" s="17">
        <f>SUBTOTAL(9,S179:S201)</f>
        <v>0</v>
      </c>
      <c r="T177" s="17">
        <f>SUBTOTAL(9,T179:T201)</f>
        <v>0</v>
      </c>
      <c r="U177" s="75">
        <f>SUBTOTAL(9,U179:U201)</f>
        <v>0</v>
      </c>
      <c r="V177" s="77">
        <f t="shared" ref="V177:AC177" si="121">SUBTOTAL(9,V179:V201)</f>
        <v>0</v>
      </c>
      <c r="W177" s="17">
        <f t="shared" si="121"/>
        <v>0</v>
      </c>
      <c r="X177" s="17">
        <f t="shared" si="121"/>
        <v>0</v>
      </c>
      <c r="Y177" s="17">
        <f t="shared" si="121"/>
        <v>0</v>
      </c>
      <c r="Z177" s="17">
        <f t="shared" si="121"/>
        <v>0</v>
      </c>
      <c r="AA177" s="17">
        <f t="shared" si="121"/>
        <v>0</v>
      </c>
      <c r="AB177" s="17">
        <f t="shared" si="121"/>
        <v>0</v>
      </c>
      <c r="AC177" s="78">
        <f t="shared" si="121"/>
        <v>0</v>
      </c>
      <c r="AF177" s="225" t="s">
        <v>118</v>
      </c>
      <c r="AG177" s="225"/>
      <c r="AH177" s="108">
        <f t="shared" ref="AH177" si="122">SUBTOTAL(9,AH179:AH201)</f>
        <v>0</v>
      </c>
    </row>
    <row r="178" spans="1:34" x14ac:dyDescent="0.3">
      <c r="A178" s="1" t="s">
        <v>145</v>
      </c>
      <c r="B178" s="1" t="s">
        <v>30</v>
      </c>
      <c r="C178" s="1" t="s">
        <v>0</v>
      </c>
      <c r="D178" s="1" t="s">
        <v>4</v>
      </c>
      <c r="E178" s="1" t="s">
        <v>5</v>
      </c>
      <c r="F178" s="1" t="s">
        <v>45</v>
      </c>
      <c r="G178" s="1" t="s">
        <v>57</v>
      </c>
      <c r="H178" s="1" t="s">
        <v>6</v>
      </c>
      <c r="I178" s="1" t="s">
        <v>2</v>
      </c>
      <c r="J178" s="1" t="s">
        <v>7</v>
      </c>
      <c r="K178" s="1" t="s">
        <v>31</v>
      </c>
      <c r="L178" s="1" t="s">
        <v>8</v>
      </c>
      <c r="M178" s="1" t="s">
        <v>34</v>
      </c>
      <c r="N178" s="1" t="s">
        <v>35</v>
      </c>
      <c r="O178" s="1" t="s">
        <v>37</v>
      </c>
      <c r="P178" s="1" t="s">
        <v>93</v>
      </c>
      <c r="Q178" s="1" t="s">
        <v>94</v>
      </c>
      <c r="R178" s="11" t="s">
        <v>39</v>
      </c>
      <c r="S178" s="2" t="s">
        <v>43</v>
      </c>
      <c r="T178" s="2" t="s">
        <v>2</v>
      </c>
      <c r="U178" s="76" t="s">
        <v>7</v>
      </c>
      <c r="V178" s="79" t="str">
        <f>+V4</f>
        <v>energia €/h</v>
      </c>
      <c r="W178" s="79" t="str">
        <f t="shared" ref="W178:AB178" si="123">+W4</f>
        <v>materiale €/Kg</v>
      </c>
      <c r="X178" s="79" t="str">
        <f t="shared" si="123"/>
        <v>mod</v>
      </c>
      <c r="Y178" s="79" t="str">
        <f t="shared" si="123"/>
        <v>ammort</v>
      </c>
      <c r="Z178" s="79" t="str">
        <f t="shared" si="123"/>
        <v>Accensione</v>
      </c>
      <c r="AA178" s="79" t="str">
        <f t="shared" si="123"/>
        <v>trasporto</v>
      </c>
      <c r="AB178" s="79" t="str">
        <f t="shared" si="123"/>
        <v>forniture</v>
      </c>
      <c r="AC178" s="80" t="s">
        <v>42</v>
      </c>
      <c r="AD178" s="53" t="s">
        <v>116</v>
      </c>
      <c r="AE178" s="1" t="s">
        <v>117</v>
      </c>
      <c r="AF178" s="1" t="s">
        <v>119</v>
      </c>
      <c r="AG178" s="1" t="s">
        <v>120</v>
      </c>
      <c r="AH178" s="1" t="s">
        <v>121</v>
      </c>
    </row>
    <row r="179" spans="1:34" x14ac:dyDescent="0.3">
      <c r="A179" s="222" t="s">
        <v>417</v>
      </c>
      <c r="B179" s="4"/>
      <c r="C179" s="4" t="str">
        <f>+C150</f>
        <v>Tavolo twist Logo</v>
      </c>
      <c r="D179" s="5">
        <f>+D150</f>
        <v>8</v>
      </c>
      <c r="E179" s="5">
        <f t="shared" ref="E179:Q179" si="124">+E150</f>
        <v>10</v>
      </c>
      <c r="F179" s="5">
        <f t="shared" si="124"/>
        <v>1.22</v>
      </c>
      <c r="G179" s="5">
        <f t="shared" si="124"/>
        <v>82</v>
      </c>
      <c r="H179" s="4">
        <f t="shared" si="124"/>
        <v>7.9769999999999997E-3</v>
      </c>
      <c r="I179" s="6">
        <f t="shared" si="124"/>
        <v>22.158333333333331</v>
      </c>
      <c r="J179" s="6">
        <f t="shared" si="124"/>
        <v>19.942499999999999</v>
      </c>
      <c r="K179" s="5">
        <f t="shared" si="124"/>
        <v>0</v>
      </c>
      <c r="L179" s="5">
        <f t="shared" si="124"/>
        <v>0</v>
      </c>
      <c r="M179" s="5">
        <f t="shared" si="124"/>
        <v>0</v>
      </c>
      <c r="N179" s="5">
        <f t="shared" si="124"/>
        <v>0</v>
      </c>
      <c r="O179" s="5">
        <f t="shared" si="124"/>
        <v>0</v>
      </c>
      <c r="P179" s="5">
        <f t="shared" si="124"/>
        <v>0</v>
      </c>
      <c r="Q179" s="5">
        <f t="shared" si="124"/>
        <v>0</v>
      </c>
      <c r="R179" s="23">
        <v>0</v>
      </c>
      <c r="S179" s="6">
        <f t="shared" ref="S179:S201" si="125">+G179*$R179</f>
        <v>0</v>
      </c>
      <c r="T179" s="6">
        <f t="shared" ref="T179" si="126">+I179*$R179</f>
        <v>0</v>
      </c>
      <c r="U179" s="4">
        <f>+J179*$R179</f>
        <v>0</v>
      </c>
      <c r="V179" s="115">
        <f>+S179*$M$3/'COST DATA'!$D$26</f>
        <v>0</v>
      </c>
      <c r="W179" s="16">
        <f>+U179*$N$3</f>
        <v>0</v>
      </c>
      <c r="X179" s="27">
        <f>+S179*$O$3</f>
        <v>0</v>
      </c>
      <c r="Y179" s="27">
        <f>+S179*$P$3</f>
        <v>0</v>
      </c>
      <c r="Z179" s="4">
        <f>+(S179/$S$3)*($S$1)</f>
        <v>0</v>
      </c>
      <c r="AA179" s="82">
        <f>+'Finished goods'!$O$3*'PRIVATE CUSTOMER (BtoC)'!T179</f>
        <v>0</v>
      </c>
      <c r="AB179" s="82">
        <f>+'Finished goods'!$P$5*R179</f>
        <v>0</v>
      </c>
      <c r="AC179" s="83">
        <f>SUM(V179:AB179)</f>
        <v>0</v>
      </c>
      <c r="AD179" s="93" t="e">
        <f>+AC179/R179</f>
        <v>#DIV/0!</v>
      </c>
      <c r="AE179" s="93">
        <f>+'REVENUE DATA'!$D$5</f>
        <v>1200</v>
      </c>
      <c r="AF179" s="90" t="e">
        <f>+AE179-AD179</f>
        <v>#DIV/0!</v>
      </c>
      <c r="AG179" s="91" t="e">
        <f>+AF179/AD179</f>
        <v>#DIV/0!</v>
      </c>
      <c r="AH179" s="92">
        <f>+AE179*R179</f>
        <v>0</v>
      </c>
    </row>
    <row r="180" spans="1:34" x14ac:dyDescent="0.3">
      <c r="A180" s="223"/>
      <c r="B180" s="4"/>
      <c r="C180" s="4" t="str">
        <f t="shared" ref="C180:J201" si="127">+C151</f>
        <v xml:space="preserve">Vaso bitorzolo curvo </v>
      </c>
      <c r="D180" s="5">
        <f t="shared" si="127"/>
        <v>4</v>
      </c>
      <c r="E180" s="5">
        <f t="shared" si="127"/>
        <v>2</v>
      </c>
      <c r="F180" s="5">
        <f t="shared" si="127"/>
        <v>5.21</v>
      </c>
      <c r="G180" s="5">
        <f t="shared" si="127"/>
        <v>321</v>
      </c>
      <c r="H180" s="4">
        <f t="shared" si="127"/>
        <v>6.0029599999999995E-4</v>
      </c>
      <c r="I180" s="6">
        <f t="shared" si="127"/>
        <v>1.6674888888888888</v>
      </c>
      <c r="J180" s="6">
        <f t="shared" si="127"/>
        <v>1.50074</v>
      </c>
      <c r="R180" s="23">
        <v>0</v>
      </c>
      <c r="S180" s="6">
        <f t="shared" si="125"/>
        <v>0</v>
      </c>
      <c r="T180" s="6">
        <f t="shared" ref="T180:T201" si="128">+H180*$R180</f>
        <v>0</v>
      </c>
      <c r="U180" s="4">
        <f t="shared" ref="U180:U201" si="129">+J180*$R180</f>
        <v>0</v>
      </c>
      <c r="V180" s="115">
        <f>+S180*$M$3/'COST DATA'!$D$26</f>
        <v>0</v>
      </c>
      <c r="W180" s="16">
        <f t="shared" ref="W180:W190" si="130">+U180*$N$3</f>
        <v>0</v>
      </c>
      <c r="X180" s="27">
        <f t="shared" ref="X180:X201" si="131">+S180*$O$3</f>
        <v>0</v>
      </c>
      <c r="Y180" s="27">
        <f t="shared" ref="Y180:Y201" si="132">+S180*$P$3</f>
        <v>0</v>
      </c>
      <c r="Z180" s="4">
        <f t="shared" ref="Z180:Z201" si="133">+(S180/$S$3)*($S$1)</f>
        <v>0</v>
      </c>
      <c r="AA180" s="82">
        <f>+'Finished goods'!$O$3*'PRIVATE CUSTOMER (BtoC)'!T180</f>
        <v>0</v>
      </c>
      <c r="AB180" s="82">
        <f>+'Finished goods'!$P$6*R180</f>
        <v>0</v>
      </c>
      <c r="AC180" s="83">
        <f t="shared" ref="AC180:AC201" si="134">SUM(V180:AB180)</f>
        <v>0</v>
      </c>
      <c r="AD180" s="93" t="e">
        <f t="shared" ref="AD180:AD201" si="135">+AC180/R180</f>
        <v>#DIV/0!</v>
      </c>
      <c r="AE180" s="93">
        <f>+'REVENUE DATA'!$D$6</f>
        <v>350</v>
      </c>
      <c r="AF180" s="90" t="e">
        <f t="shared" ref="AF180:AF201" si="136">+AE180-AD180</f>
        <v>#DIV/0!</v>
      </c>
      <c r="AG180" s="91" t="e">
        <f t="shared" ref="AG180:AG201" si="137">+AF180/AD180</f>
        <v>#DIV/0!</v>
      </c>
      <c r="AH180" s="92">
        <f t="shared" ref="AH180:AH201" si="138">+AE180*R180</f>
        <v>0</v>
      </c>
    </row>
    <row r="181" spans="1:34" x14ac:dyDescent="0.3">
      <c r="A181" s="223"/>
      <c r="B181" s="4"/>
      <c r="C181" s="4" t="str">
        <f t="shared" si="127"/>
        <v>Vaso bitorzolo twist</v>
      </c>
      <c r="D181" s="5">
        <f t="shared" si="127"/>
        <v>4</v>
      </c>
      <c r="E181" s="5">
        <f t="shared" si="127"/>
        <v>2</v>
      </c>
      <c r="F181" s="5">
        <f t="shared" si="127"/>
        <v>5.15</v>
      </c>
      <c r="G181" s="5">
        <f t="shared" si="127"/>
        <v>315</v>
      </c>
      <c r="H181" s="4">
        <f t="shared" si="127"/>
        <v>8.005105E-4</v>
      </c>
      <c r="I181" s="6">
        <f t="shared" si="127"/>
        <v>2.2236402777777777</v>
      </c>
      <c r="J181" s="6">
        <f t="shared" si="127"/>
        <v>2.0012762500000001</v>
      </c>
      <c r="R181" s="23">
        <v>0</v>
      </c>
      <c r="S181" s="6">
        <f t="shared" si="125"/>
        <v>0</v>
      </c>
      <c r="T181" s="6">
        <f t="shared" si="128"/>
        <v>0</v>
      </c>
      <c r="U181" s="4">
        <f t="shared" si="129"/>
        <v>0</v>
      </c>
      <c r="V181" s="115">
        <f>+S181*$M$3/'COST DATA'!$D$26</f>
        <v>0</v>
      </c>
      <c r="W181" s="16">
        <f t="shared" si="130"/>
        <v>0</v>
      </c>
      <c r="X181" s="27">
        <f t="shared" si="131"/>
        <v>0</v>
      </c>
      <c r="Y181" s="27">
        <f t="shared" si="132"/>
        <v>0</v>
      </c>
      <c r="Z181" s="4">
        <f t="shared" si="133"/>
        <v>0</v>
      </c>
      <c r="AA181" s="82">
        <f>+'Finished goods'!$O$3*'PRIVATE CUSTOMER (BtoC)'!T181</f>
        <v>0</v>
      </c>
      <c r="AB181" s="82">
        <f>+'Finished goods'!$P$7*R181</f>
        <v>0</v>
      </c>
      <c r="AC181" s="83">
        <f t="shared" si="134"/>
        <v>0</v>
      </c>
      <c r="AD181" s="93" t="e">
        <f t="shared" si="135"/>
        <v>#DIV/0!</v>
      </c>
      <c r="AE181" s="93">
        <f>+'REVENUE DATA'!$D$7</f>
        <v>350</v>
      </c>
      <c r="AF181" s="90" t="e">
        <f t="shared" si="136"/>
        <v>#DIV/0!</v>
      </c>
      <c r="AG181" s="91" t="e">
        <f t="shared" si="137"/>
        <v>#DIV/0!</v>
      </c>
      <c r="AH181" s="92">
        <f t="shared" si="138"/>
        <v>0</v>
      </c>
    </row>
    <row r="182" spans="1:34" x14ac:dyDescent="0.3">
      <c r="A182" s="223"/>
      <c r="B182" s="4"/>
      <c r="C182" s="4" t="str">
        <f t="shared" si="127"/>
        <v>Vaso bitorzolo dritto</v>
      </c>
      <c r="D182" s="5">
        <f t="shared" si="127"/>
        <v>4</v>
      </c>
      <c r="E182" s="5">
        <f t="shared" si="127"/>
        <v>2</v>
      </c>
      <c r="F182" s="5">
        <f t="shared" si="127"/>
        <v>4.4800000000000004</v>
      </c>
      <c r="G182" s="5">
        <f t="shared" si="127"/>
        <v>288</v>
      </c>
      <c r="H182" s="4">
        <f t="shared" si="127"/>
        <v>8.2321687099999998E-4</v>
      </c>
      <c r="I182" s="6">
        <f t="shared" si="127"/>
        <v>2.2867135305555553</v>
      </c>
      <c r="J182" s="6">
        <f t="shared" si="127"/>
        <v>2.0580421775</v>
      </c>
      <c r="R182" s="23">
        <v>0</v>
      </c>
      <c r="S182" s="6">
        <f t="shared" si="125"/>
        <v>0</v>
      </c>
      <c r="T182" s="6">
        <f t="shared" si="128"/>
        <v>0</v>
      </c>
      <c r="U182" s="4">
        <f t="shared" si="129"/>
        <v>0</v>
      </c>
      <c r="V182" s="115">
        <f>+S182*$M$3/'COST DATA'!$D$26</f>
        <v>0</v>
      </c>
      <c r="W182" s="16">
        <f t="shared" si="130"/>
        <v>0</v>
      </c>
      <c r="X182" s="27">
        <f t="shared" si="131"/>
        <v>0</v>
      </c>
      <c r="Y182" s="27">
        <f t="shared" si="132"/>
        <v>0</v>
      </c>
      <c r="Z182" s="4">
        <f t="shared" si="133"/>
        <v>0</v>
      </c>
      <c r="AA182" s="82">
        <f>+'Finished goods'!$O$3*'PRIVATE CUSTOMER (BtoC)'!T182</f>
        <v>0</v>
      </c>
      <c r="AB182" s="82">
        <f>+'Finished goods'!$P$8*R182</f>
        <v>0</v>
      </c>
      <c r="AC182" s="83">
        <f t="shared" si="134"/>
        <v>0</v>
      </c>
      <c r="AD182" s="93" t="e">
        <f t="shared" si="135"/>
        <v>#DIV/0!</v>
      </c>
      <c r="AE182" s="93">
        <f>+'REVENUE DATA'!$D$8</f>
        <v>350</v>
      </c>
      <c r="AF182" s="90" t="e">
        <f t="shared" si="136"/>
        <v>#DIV/0!</v>
      </c>
      <c r="AG182" s="91" t="e">
        <f t="shared" si="137"/>
        <v>#DIV/0!</v>
      </c>
      <c r="AH182" s="92">
        <f t="shared" si="138"/>
        <v>0</v>
      </c>
    </row>
    <row r="183" spans="1:34" x14ac:dyDescent="0.3">
      <c r="A183" s="223"/>
      <c r="B183" s="4"/>
      <c r="C183" s="4" t="str">
        <f t="shared" si="127"/>
        <v>Porta riviste</v>
      </c>
      <c r="D183" s="5">
        <f t="shared" si="127"/>
        <v>10</v>
      </c>
      <c r="E183" s="5">
        <f t="shared" si="127"/>
        <v>10</v>
      </c>
      <c r="F183" s="5">
        <f t="shared" si="127"/>
        <v>0.42</v>
      </c>
      <c r="G183" s="5">
        <f t="shared" si="127"/>
        <v>42</v>
      </c>
      <c r="H183" s="4">
        <f t="shared" si="127"/>
        <v>3.5606798E-3</v>
      </c>
      <c r="I183" s="6">
        <f t="shared" si="127"/>
        <v>9.890777222222221</v>
      </c>
      <c r="J183" s="6">
        <f t="shared" si="127"/>
        <v>8.9016994999999994</v>
      </c>
      <c r="R183" s="23">
        <v>0</v>
      </c>
      <c r="S183" s="6">
        <f t="shared" si="125"/>
        <v>0</v>
      </c>
      <c r="T183" s="6">
        <f t="shared" si="128"/>
        <v>0</v>
      </c>
      <c r="U183" s="4">
        <f t="shared" si="129"/>
        <v>0</v>
      </c>
      <c r="V183" s="115">
        <f>+S183*$M$3/'COST DATA'!$D$26</f>
        <v>0</v>
      </c>
      <c r="W183" s="16">
        <f t="shared" si="130"/>
        <v>0</v>
      </c>
      <c r="X183" s="27">
        <f t="shared" si="131"/>
        <v>0</v>
      </c>
      <c r="Y183" s="27">
        <f t="shared" si="132"/>
        <v>0</v>
      </c>
      <c r="Z183" s="4">
        <f t="shared" si="133"/>
        <v>0</v>
      </c>
      <c r="AA183" s="82">
        <f>+'Finished goods'!$O$3*'PRIVATE CUSTOMER (BtoC)'!T183</f>
        <v>0</v>
      </c>
      <c r="AB183" s="82">
        <f>+'Finished goods'!$P$9*R183</f>
        <v>0</v>
      </c>
      <c r="AC183" s="83">
        <f t="shared" si="134"/>
        <v>0</v>
      </c>
      <c r="AD183" s="93" t="e">
        <f t="shared" si="135"/>
        <v>#DIV/0!</v>
      </c>
      <c r="AE183" s="93">
        <f>+'REVENUE DATA'!$D$9</f>
        <v>180</v>
      </c>
      <c r="AF183" s="90" t="e">
        <f t="shared" si="136"/>
        <v>#DIV/0!</v>
      </c>
      <c r="AG183" s="91" t="e">
        <f t="shared" si="137"/>
        <v>#DIV/0!</v>
      </c>
      <c r="AH183" s="92">
        <f t="shared" si="138"/>
        <v>0</v>
      </c>
    </row>
    <row r="184" spans="1:34" x14ac:dyDescent="0.3">
      <c r="A184" s="223"/>
      <c r="B184" s="4"/>
      <c r="C184" s="4" t="str">
        <f t="shared" si="127"/>
        <v>Lampada 90 grossa</v>
      </c>
      <c r="D184" s="5">
        <f t="shared" si="127"/>
        <v>8</v>
      </c>
      <c r="E184" s="5">
        <f t="shared" si="127"/>
        <v>10</v>
      </c>
      <c r="F184" s="5">
        <f t="shared" si="127"/>
        <v>1.39</v>
      </c>
      <c r="G184" s="5">
        <f t="shared" si="127"/>
        <v>99</v>
      </c>
      <c r="H184" s="4">
        <f t="shared" si="127"/>
        <v>1.7366300000000001E-3</v>
      </c>
      <c r="I184" s="6">
        <f t="shared" si="127"/>
        <v>4.8239722222222232</v>
      </c>
      <c r="J184" s="6">
        <f t="shared" si="127"/>
        <v>4.3415750000000006</v>
      </c>
      <c r="R184" s="23">
        <v>0</v>
      </c>
      <c r="S184" s="6">
        <f t="shared" si="125"/>
        <v>0</v>
      </c>
      <c r="T184" s="6">
        <f t="shared" si="128"/>
        <v>0</v>
      </c>
      <c r="U184" s="4">
        <f t="shared" si="129"/>
        <v>0</v>
      </c>
      <c r="V184" s="115">
        <f>+S184*$M$3/'COST DATA'!$D$26</f>
        <v>0</v>
      </c>
      <c r="W184" s="16">
        <f t="shared" si="130"/>
        <v>0</v>
      </c>
      <c r="X184" s="27">
        <f t="shared" si="131"/>
        <v>0</v>
      </c>
      <c r="Y184" s="27">
        <f t="shared" si="132"/>
        <v>0</v>
      </c>
      <c r="Z184" s="4">
        <f t="shared" si="133"/>
        <v>0</v>
      </c>
      <c r="AA184" s="82">
        <f>+'Finished goods'!$O$3*'PRIVATE CUSTOMER (BtoC)'!T184</f>
        <v>0</v>
      </c>
      <c r="AB184" s="82">
        <f>+'Finished goods'!$P$10*R184</f>
        <v>0</v>
      </c>
      <c r="AC184" s="83">
        <f t="shared" si="134"/>
        <v>0</v>
      </c>
      <c r="AD184" s="93" t="e">
        <f t="shared" si="135"/>
        <v>#DIV/0!</v>
      </c>
      <c r="AE184" s="93">
        <f>+'REVENUE DATA'!$D$10</f>
        <v>450</v>
      </c>
      <c r="AF184" s="90" t="e">
        <f t="shared" si="136"/>
        <v>#DIV/0!</v>
      </c>
      <c r="AG184" s="91" t="e">
        <f t="shared" si="137"/>
        <v>#DIV/0!</v>
      </c>
      <c r="AH184" s="92">
        <f t="shared" si="138"/>
        <v>0</v>
      </c>
    </row>
    <row r="185" spans="1:34" x14ac:dyDescent="0.3">
      <c r="A185" s="223"/>
      <c r="B185" s="4"/>
      <c r="C185" s="4" t="str">
        <f t="shared" si="127"/>
        <v>Lampada 90 piccola</v>
      </c>
      <c r="D185" s="5">
        <f t="shared" si="127"/>
        <v>5</v>
      </c>
      <c r="E185" s="5">
        <f t="shared" si="127"/>
        <v>10</v>
      </c>
      <c r="F185" s="5">
        <f t="shared" si="127"/>
        <v>1.1499999999999999</v>
      </c>
      <c r="G185" s="5">
        <f t="shared" si="127"/>
        <v>75</v>
      </c>
      <c r="H185" s="4">
        <f t="shared" si="127"/>
        <v>8.1557296000000004E-4</v>
      </c>
      <c r="I185" s="6">
        <f t="shared" si="127"/>
        <v>2.2654804444444445</v>
      </c>
      <c r="J185" s="6">
        <f t="shared" si="127"/>
        <v>2.0389324000000002</v>
      </c>
      <c r="R185" s="23">
        <v>0</v>
      </c>
      <c r="S185" s="6">
        <f t="shared" si="125"/>
        <v>0</v>
      </c>
      <c r="T185" s="6">
        <f t="shared" si="128"/>
        <v>0</v>
      </c>
      <c r="U185" s="4">
        <f t="shared" si="129"/>
        <v>0</v>
      </c>
      <c r="V185" s="115">
        <f>+S185*$M$3/'COST DATA'!$D$26</f>
        <v>0</v>
      </c>
      <c r="W185" s="16">
        <f t="shared" si="130"/>
        <v>0</v>
      </c>
      <c r="X185" s="27">
        <f t="shared" si="131"/>
        <v>0</v>
      </c>
      <c r="Y185" s="27">
        <f t="shared" si="132"/>
        <v>0</v>
      </c>
      <c r="Z185" s="4">
        <f t="shared" si="133"/>
        <v>0</v>
      </c>
      <c r="AA185" s="82">
        <f>+'Finished goods'!$O$3*'PRIVATE CUSTOMER (BtoC)'!T185</f>
        <v>0</v>
      </c>
      <c r="AB185" s="82">
        <f>+'Finished goods'!$P$11*R185</f>
        <v>0</v>
      </c>
      <c r="AC185" s="83">
        <f t="shared" si="134"/>
        <v>0</v>
      </c>
      <c r="AD185" s="93" t="e">
        <f t="shared" si="135"/>
        <v>#DIV/0!</v>
      </c>
      <c r="AE185" s="93">
        <f>+'REVENUE DATA'!$D$11</f>
        <v>200</v>
      </c>
      <c r="AF185" s="90" t="e">
        <f t="shared" si="136"/>
        <v>#DIV/0!</v>
      </c>
      <c r="AG185" s="91" t="e">
        <f t="shared" si="137"/>
        <v>#DIV/0!</v>
      </c>
      <c r="AH185" s="92">
        <f t="shared" si="138"/>
        <v>0</v>
      </c>
    </row>
    <row r="186" spans="1:34" x14ac:dyDescent="0.3">
      <c r="A186" s="223"/>
      <c r="B186" s="4"/>
      <c r="C186" s="4" t="str">
        <f t="shared" si="127"/>
        <v>Vaso Logo</v>
      </c>
      <c r="D186" s="5">
        <f t="shared" si="127"/>
        <v>5</v>
      </c>
      <c r="E186" s="5">
        <f t="shared" si="127"/>
        <v>10</v>
      </c>
      <c r="F186" s="5">
        <f t="shared" si="127"/>
        <v>0.39</v>
      </c>
      <c r="G186" s="5">
        <f t="shared" si="127"/>
        <v>39</v>
      </c>
      <c r="H186" s="4">
        <f t="shared" si="127"/>
        <v>1.1639584900000001E-3</v>
      </c>
      <c r="I186" s="6">
        <f t="shared" si="127"/>
        <v>3.2332180277777778</v>
      </c>
      <c r="J186" s="6">
        <f t="shared" si="127"/>
        <v>2.9098962250000002</v>
      </c>
      <c r="R186" s="23">
        <v>0</v>
      </c>
      <c r="S186" s="6">
        <f t="shared" si="125"/>
        <v>0</v>
      </c>
      <c r="T186" s="6">
        <f t="shared" si="128"/>
        <v>0</v>
      </c>
      <c r="U186" s="4">
        <f t="shared" si="129"/>
        <v>0</v>
      </c>
      <c r="V186" s="115">
        <f>+S186*$M$3/'COST DATA'!$D$26</f>
        <v>0</v>
      </c>
      <c r="W186" s="16">
        <f t="shared" si="130"/>
        <v>0</v>
      </c>
      <c r="X186" s="27">
        <f t="shared" si="131"/>
        <v>0</v>
      </c>
      <c r="Y186" s="27">
        <f t="shared" si="132"/>
        <v>0</v>
      </c>
      <c r="Z186" s="4">
        <f t="shared" si="133"/>
        <v>0</v>
      </c>
      <c r="AA186" s="82">
        <f>+'Finished goods'!$O$3*'PRIVATE CUSTOMER (BtoC)'!T186</f>
        <v>0</v>
      </c>
      <c r="AB186" s="82">
        <f>+'Finished goods'!$P$12*R186</f>
        <v>0</v>
      </c>
      <c r="AC186" s="83">
        <f t="shared" si="134"/>
        <v>0</v>
      </c>
      <c r="AD186" s="93" t="e">
        <f t="shared" si="135"/>
        <v>#DIV/0!</v>
      </c>
      <c r="AE186" s="93">
        <f>+'REVENUE DATA'!$D$12</f>
        <v>350</v>
      </c>
      <c r="AF186" s="90" t="e">
        <f t="shared" si="136"/>
        <v>#DIV/0!</v>
      </c>
      <c r="AG186" s="91" t="e">
        <f t="shared" si="137"/>
        <v>#DIV/0!</v>
      </c>
      <c r="AH186" s="92">
        <f t="shared" si="138"/>
        <v>0</v>
      </c>
    </row>
    <row r="187" spans="1:34" x14ac:dyDescent="0.3">
      <c r="A187" s="223"/>
      <c r="B187" s="4"/>
      <c r="C187" s="4" t="str">
        <f t="shared" si="127"/>
        <v>Copri candela</v>
      </c>
      <c r="D187" s="5">
        <f t="shared" si="127"/>
        <v>4</v>
      </c>
      <c r="E187" s="5">
        <f t="shared" si="127"/>
        <v>5</v>
      </c>
      <c r="F187" s="5">
        <f t="shared" si="127"/>
        <v>0.34</v>
      </c>
      <c r="G187" s="5">
        <f t="shared" si="127"/>
        <v>34</v>
      </c>
      <c r="H187" s="4">
        <f t="shared" si="127"/>
        <v>2.3780405299999999E-4</v>
      </c>
      <c r="I187" s="6">
        <f t="shared" si="127"/>
        <v>0.66056681388888883</v>
      </c>
      <c r="J187" s="6">
        <f t="shared" si="127"/>
        <v>0.59451013249999995</v>
      </c>
      <c r="R187" s="23">
        <v>0</v>
      </c>
      <c r="S187" s="6">
        <f t="shared" si="125"/>
        <v>0</v>
      </c>
      <c r="T187" s="6">
        <f t="shared" si="128"/>
        <v>0</v>
      </c>
      <c r="U187" s="4">
        <f t="shared" si="129"/>
        <v>0</v>
      </c>
      <c r="V187" s="115">
        <f>+S187*$M$3/'COST DATA'!$D$26</f>
        <v>0</v>
      </c>
      <c r="W187" s="16">
        <f t="shared" si="130"/>
        <v>0</v>
      </c>
      <c r="X187" s="27">
        <f t="shared" si="131"/>
        <v>0</v>
      </c>
      <c r="Y187" s="27">
        <f t="shared" si="132"/>
        <v>0</v>
      </c>
      <c r="Z187" s="4">
        <f t="shared" si="133"/>
        <v>0</v>
      </c>
      <c r="AA187" s="82">
        <f>+'Finished goods'!$O$3*'PRIVATE CUSTOMER (BtoC)'!T187</f>
        <v>0</v>
      </c>
      <c r="AB187" s="82">
        <f>+'Finished goods'!$P$13*R187</f>
        <v>0</v>
      </c>
      <c r="AC187" s="83">
        <f t="shared" si="134"/>
        <v>0</v>
      </c>
      <c r="AD187" s="93" t="e">
        <f t="shared" si="135"/>
        <v>#DIV/0!</v>
      </c>
      <c r="AE187" s="93">
        <f>+'REVENUE DATA'!$D$13</f>
        <v>75</v>
      </c>
      <c r="AF187" s="90" t="e">
        <f t="shared" si="136"/>
        <v>#DIV/0!</v>
      </c>
      <c r="AG187" s="91" t="e">
        <f t="shared" si="137"/>
        <v>#DIV/0!</v>
      </c>
      <c r="AH187" s="92">
        <f t="shared" si="138"/>
        <v>0</v>
      </c>
    </row>
    <row r="188" spans="1:34" x14ac:dyDescent="0.3">
      <c r="A188" s="223"/>
      <c r="B188" s="4"/>
      <c r="C188" s="4" t="str">
        <f t="shared" si="127"/>
        <v xml:space="preserve">Vaso Grosso </v>
      </c>
      <c r="D188" s="5">
        <f t="shared" si="127"/>
        <v>4</v>
      </c>
      <c r="E188" s="5">
        <f t="shared" si="127"/>
        <v>5</v>
      </c>
      <c r="F188" s="5">
        <f t="shared" si="127"/>
        <v>1.31</v>
      </c>
      <c r="G188" s="5">
        <f t="shared" si="127"/>
        <v>91</v>
      </c>
      <c r="H188" s="4">
        <f t="shared" si="127"/>
        <v>9.52764444E-4</v>
      </c>
      <c r="I188" s="6">
        <f t="shared" si="127"/>
        <v>2.6465679</v>
      </c>
      <c r="J188" s="6">
        <f t="shared" si="127"/>
        <v>2.3819111099999999</v>
      </c>
      <c r="R188" s="23">
        <v>0</v>
      </c>
      <c r="S188" s="6">
        <f t="shared" si="125"/>
        <v>0</v>
      </c>
      <c r="T188" s="6">
        <f t="shared" si="128"/>
        <v>0</v>
      </c>
      <c r="U188" s="4">
        <f t="shared" si="129"/>
        <v>0</v>
      </c>
      <c r="V188" s="115">
        <f>+S188*$M$3/'COST DATA'!$D$26</f>
        <v>0</v>
      </c>
      <c r="W188" s="16">
        <f t="shared" si="130"/>
        <v>0</v>
      </c>
      <c r="X188" s="27">
        <f t="shared" si="131"/>
        <v>0</v>
      </c>
      <c r="Y188" s="27">
        <f t="shared" si="132"/>
        <v>0</v>
      </c>
      <c r="Z188" s="4">
        <f t="shared" si="133"/>
        <v>0</v>
      </c>
      <c r="AA188" s="82">
        <f>+'Finished goods'!$O$3*'PRIVATE CUSTOMER (BtoC)'!T188</f>
        <v>0</v>
      </c>
      <c r="AB188" s="82">
        <f>+'Finished goods'!$P$14*R188</f>
        <v>0</v>
      </c>
      <c r="AC188" s="83">
        <f t="shared" si="134"/>
        <v>0</v>
      </c>
      <c r="AD188" s="93" t="e">
        <f t="shared" si="135"/>
        <v>#DIV/0!</v>
      </c>
      <c r="AE188" s="93">
        <f>+'REVENUE DATA'!$D$14</f>
        <v>250</v>
      </c>
      <c r="AF188" s="90" t="e">
        <f t="shared" si="136"/>
        <v>#DIV/0!</v>
      </c>
      <c r="AG188" s="91" t="e">
        <f t="shared" si="137"/>
        <v>#DIV/0!</v>
      </c>
      <c r="AH188" s="92">
        <f t="shared" si="138"/>
        <v>0</v>
      </c>
    </row>
    <row r="189" spans="1:34" x14ac:dyDescent="0.3">
      <c r="A189" s="223"/>
      <c r="B189" s="4"/>
      <c r="C189" s="4" t="str">
        <f t="shared" si="127"/>
        <v>Bicchiere curve dritto</v>
      </c>
      <c r="D189" s="5">
        <f t="shared" si="127"/>
        <v>2</v>
      </c>
      <c r="E189" s="5">
        <f t="shared" si="127"/>
        <v>2</v>
      </c>
      <c r="F189" s="5">
        <f t="shared" si="127"/>
        <v>0.26</v>
      </c>
      <c r="G189" s="5">
        <f t="shared" si="127"/>
        <v>26</v>
      </c>
      <c r="H189" s="4">
        <f t="shared" si="127"/>
        <v>1.6928511099999999E-4</v>
      </c>
      <c r="I189" s="6">
        <f t="shared" si="127"/>
        <v>0.47023641944444439</v>
      </c>
      <c r="J189" s="6">
        <f t="shared" si="127"/>
        <v>0.42321277749999997</v>
      </c>
      <c r="R189" s="23">
        <v>0</v>
      </c>
      <c r="S189" s="6">
        <f t="shared" si="125"/>
        <v>0</v>
      </c>
      <c r="T189" s="6">
        <f t="shared" si="128"/>
        <v>0</v>
      </c>
      <c r="U189" s="4">
        <f t="shared" si="129"/>
        <v>0</v>
      </c>
      <c r="V189" s="115">
        <f>+S189*$M$3/'COST DATA'!$D$26</f>
        <v>0</v>
      </c>
      <c r="W189" s="16">
        <f t="shared" si="130"/>
        <v>0</v>
      </c>
      <c r="X189" s="27">
        <f t="shared" si="131"/>
        <v>0</v>
      </c>
      <c r="Y189" s="27">
        <f t="shared" si="132"/>
        <v>0</v>
      </c>
      <c r="Z189" s="4">
        <f t="shared" si="133"/>
        <v>0</v>
      </c>
      <c r="AA189" s="82">
        <f>+'Finished goods'!$O$3*'PRIVATE CUSTOMER (BtoC)'!T189</f>
        <v>0</v>
      </c>
      <c r="AB189" s="82">
        <f>+'Finished goods'!$P$15*R189</f>
        <v>0</v>
      </c>
      <c r="AC189" s="83">
        <f t="shared" si="134"/>
        <v>0</v>
      </c>
      <c r="AD189" s="93" t="e">
        <f t="shared" si="135"/>
        <v>#DIV/0!</v>
      </c>
      <c r="AE189" s="93">
        <f>+'REVENUE DATA'!$D$15</f>
        <v>0</v>
      </c>
      <c r="AF189" s="90" t="e">
        <f t="shared" si="136"/>
        <v>#DIV/0!</v>
      </c>
      <c r="AG189" s="91" t="e">
        <f t="shared" si="137"/>
        <v>#DIV/0!</v>
      </c>
      <c r="AH189" s="92">
        <f t="shared" si="138"/>
        <v>0</v>
      </c>
    </row>
    <row r="190" spans="1:34" x14ac:dyDescent="0.3">
      <c r="A190" s="223"/>
      <c r="B190" s="4"/>
      <c r="C190" s="4" t="str">
        <f t="shared" si="127"/>
        <v>Bicchiere curve twist</v>
      </c>
      <c r="D190" s="5">
        <f t="shared" si="127"/>
        <v>2</v>
      </c>
      <c r="E190" s="5">
        <f t="shared" si="127"/>
        <v>2</v>
      </c>
      <c r="F190" s="5">
        <f t="shared" si="127"/>
        <v>0.25</v>
      </c>
      <c r="G190" s="5">
        <f t="shared" si="127"/>
        <v>25</v>
      </c>
      <c r="H190" s="4">
        <f t="shared" si="127"/>
        <v>1.69285896E-4</v>
      </c>
      <c r="I190" s="6">
        <f t="shared" si="127"/>
        <v>0.47023859999999995</v>
      </c>
      <c r="J190" s="6">
        <f t="shared" si="127"/>
        <v>0.42321473999999998</v>
      </c>
      <c r="R190" s="23">
        <v>0</v>
      </c>
      <c r="S190" s="6">
        <f t="shared" si="125"/>
        <v>0</v>
      </c>
      <c r="T190" s="6">
        <f t="shared" si="128"/>
        <v>0</v>
      </c>
      <c r="U190" s="4">
        <f t="shared" si="129"/>
        <v>0</v>
      </c>
      <c r="V190" s="115">
        <f>+S190*$M$3/'COST DATA'!$D$26</f>
        <v>0</v>
      </c>
      <c r="W190" s="16">
        <f t="shared" si="130"/>
        <v>0</v>
      </c>
      <c r="X190" s="27">
        <f t="shared" si="131"/>
        <v>0</v>
      </c>
      <c r="Y190" s="27">
        <f t="shared" si="132"/>
        <v>0</v>
      </c>
      <c r="Z190" s="4">
        <f t="shared" si="133"/>
        <v>0</v>
      </c>
      <c r="AA190" s="82">
        <f>+'Finished goods'!$O$3*'PRIVATE CUSTOMER (BtoC)'!T190</f>
        <v>0</v>
      </c>
      <c r="AB190" s="82">
        <f>+'Finished goods'!$P$16*R190</f>
        <v>0</v>
      </c>
      <c r="AC190" s="83">
        <f t="shared" si="134"/>
        <v>0</v>
      </c>
      <c r="AD190" s="93" t="e">
        <f t="shared" si="135"/>
        <v>#DIV/0!</v>
      </c>
      <c r="AE190" s="93">
        <f>+'REVENUE DATA'!$D$16</f>
        <v>0</v>
      </c>
      <c r="AF190" s="90" t="e">
        <f t="shared" si="136"/>
        <v>#DIV/0!</v>
      </c>
      <c r="AG190" s="91" t="e">
        <f t="shared" si="137"/>
        <v>#DIV/0!</v>
      </c>
      <c r="AH190" s="92">
        <f t="shared" si="138"/>
        <v>0</v>
      </c>
    </row>
    <row r="191" spans="1:34" x14ac:dyDescent="0.3">
      <c r="A191" s="223"/>
      <c r="B191" s="4"/>
      <c r="C191" s="4" t="str">
        <f t="shared" si="127"/>
        <v>Caraffa curva</v>
      </c>
      <c r="D191" s="5">
        <f t="shared" si="127"/>
        <v>2</v>
      </c>
      <c r="E191" s="5">
        <f t="shared" si="127"/>
        <v>2</v>
      </c>
      <c r="F191" s="5">
        <f t="shared" si="127"/>
        <v>0.56999999999999995</v>
      </c>
      <c r="G191" s="5">
        <f t="shared" si="127"/>
        <v>57</v>
      </c>
      <c r="H191" s="4">
        <f t="shared" si="127"/>
        <v>3.69342133E-4</v>
      </c>
      <c r="I191" s="6">
        <f t="shared" si="127"/>
        <v>1.0259503694444445</v>
      </c>
      <c r="J191" s="6">
        <f t="shared" si="127"/>
        <v>0.92335533250000001</v>
      </c>
      <c r="R191" s="23">
        <v>0</v>
      </c>
      <c r="S191" s="6">
        <f t="shared" si="125"/>
        <v>0</v>
      </c>
      <c r="T191" s="6">
        <f t="shared" si="128"/>
        <v>0</v>
      </c>
      <c r="U191" s="4">
        <f t="shared" si="129"/>
        <v>0</v>
      </c>
      <c r="V191" s="115">
        <f>+S191*$M$3/'COST DATA'!$D$26</f>
        <v>0</v>
      </c>
      <c r="W191" s="16">
        <f>+U191*$N$3</f>
        <v>0</v>
      </c>
      <c r="X191" s="27">
        <f t="shared" si="131"/>
        <v>0</v>
      </c>
      <c r="Y191" s="27">
        <f t="shared" si="132"/>
        <v>0</v>
      </c>
      <c r="Z191" s="4">
        <f t="shared" si="133"/>
        <v>0</v>
      </c>
      <c r="AA191" s="82">
        <f>+'Finished goods'!$O$3*'PRIVATE CUSTOMER (BtoC)'!T191</f>
        <v>0</v>
      </c>
      <c r="AB191" s="82">
        <f>+'Finished goods'!$P$17*R191</f>
        <v>0</v>
      </c>
      <c r="AC191" s="83">
        <f t="shared" si="134"/>
        <v>0</v>
      </c>
      <c r="AD191" s="93" t="e">
        <f t="shared" si="135"/>
        <v>#DIV/0!</v>
      </c>
      <c r="AE191" s="93">
        <f>+'REVENUE DATA'!$D$17</f>
        <v>30</v>
      </c>
      <c r="AF191" s="90" t="e">
        <f t="shared" si="136"/>
        <v>#DIV/0!</v>
      </c>
      <c r="AG191" s="91" t="e">
        <f t="shared" si="137"/>
        <v>#DIV/0!</v>
      </c>
      <c r="AH191" s="92">
        <f t="shared" si="138"/>
        <v>0</v>
      </c>
    </row>
    <row r="192" spans="1:34" x14ac:dyDescent="0.3">
      <c r="A192" s="223"/>
      <c r="B192" s="4"/>
      <c r="C192" s="4" t="str">
        <f t="shared" si="127"/>
        <v>Caraffa colonna dritta</v>
      </c>
      <c r="D192" s="5">
        <f t="shared" si="127"/>
        <v>2</v>
      </c>
      <c r="E192" s="5">
        <f t="shared" si="127"/>
        <v>1</v>
      </c>
      <c r="F192" s="5">
        <f t="shared" si="127"/>
        <v>1.4</v>
      </c>
      <c r="G192" s="5">
        <f t="shared" si="127"/>
        <v>100</v>
      </c>
      <c r="H192" s="4">
        <f t="shared" si="127"/>
        <v>3.2796365999999998E-4</v>
      </c>
      <c r="I192" s="6">
        <f t="shared" si="127"/>
        <v>0.91101016666666657</v>
      </c>
      <c r="J192" s="6">
        <f t="shared" si="127"/>
        <v>0.81990914999999998</v>
      </c>
      <c r="R192" s="23">
        <v>0</v>
      </c>
      <c r="S192" s="6">
        <f t="shared" si="125"/>
        <v>0</v>
      </c>
      <c r="T192" s="6">
        <f t="shared" si="128"/>
        <v>0</v>
      </c>
      <c r="U192" s="4">
        <f t="shared" si="129"/>
        <v>0</v>
      </c>
      <c r="V192" s="115">
        <f>+S192*$M$3/'COST DATA'!$D$26</f>
        <v>0</v>
      </c>
      <c r="W192" s="16">
        <f t="shared" ref="W192:W201" si="139">+U192*$N$3</f>
        <v>0</v>
      </c>
      <c r="X192" s="27">
        <f t="shared" si="131"/>
        <v>0</v>
      </c>
      <c r="Y192" s="27">
        <f t="shared" si="132"/>
        <v>0</v>
      </c>
      <c r="Z192" s="4">
        <f t="shared" si="133"/>
        <v>0</v>
      </c>
      <c r="AA192" s="82">
        <f>+'Finished goods'!$O$3*'PRIVATE CUSTOMER (BtoC)'!T192</f>
        <v>0</v>
      </c>
      <c r="AB192" s="82">
        <f>+'Finished goods'!$P$18*R192</f>
        <v>0</v>
      </c>
      <c r="AC192" s="83">
        <f t="shared" si="134"/>
        <v>0</v>
      </c>
      <c r="AD192" s="93" t="e">
        <f t="shared" si="135"/>
        <v>#DIV/0!</v>
      </c>
      <c r="AE192" s="93">
        <f>+'REVENUE DATA'!$D$18</f>
        <v>30</v>
      </c>
      <c r="AF192" s="90" t="e">
        <f t="shared" si="136"/>
        <v>#DIV/0!</v>
      </c>
      <c r="AG192" s="91" t="e">
        <f t="shared" si="137"/>
        <v>#DIV/0!</v>
      </c>
      <c r="AH192" s="92">
        <f t="shared" si="138"/>
        <v>0</v>
      </c>
    </row>
    <row r="193" spans="1:34" x14ac:dyDescent="0.3">
      <c r="A193" s="223"/>
      <c r="B193" s="4"/>
      <c r="C193" s="4" t="str">
        <f t="shared" si="127"/>
        <v>Caraffa colonna twist1</v>
      </c>
      <c r="D193" s="5">
        <f t="shared" si="127"/>
        <v>2</v>
      </c>
      <c r="E193" s="5">
        <f t="shared" si="127"/>
        <v>1</v>
      </c>
      <c r="F193" s="5">
        <f t="shared" si="127"/>
        <v>1.41</v>
      </c>
      <c r="G193" s="5">
        <f t="shared" si="127"/>
        <v>101</v>
      </c>
      <c r="H193" s="4">
        <f t="shared" si="127"/>
        <v>3.323221E-4</v>
      </c>
      <c r="I193" s="6">
        <f t="shared" si="127"/>
        <v>0.92311694444444448</v>
      </c>
      <c r="J193" s="6">
        <f t="shared" si="127"/>
        <v>0.83080525000000005</v>
      </c>
      <c r="R193" s="23">
        <v>0</v>
      </c>
      <c r="S193" s="6">
        <f t="shared" si="125"/>
        <v>0</v>
      </c>
      <c r="T193" s="6">
        <f t="shared" si="128"/>
        <v>0</v>
      </c>
      <c r="U193" s="4">
        <f t="shared" si="129"/>
        <v>0</v>
      </c>
      <c r="V193" s="115">
        <f>+S193*$M$3/'COST DATA'!$D$26</f>
        <v>0</v>
      </c>
      <c r="W193" s="16">
        <f t="shared" si="139"/>
        <v>0</v>
      </c>
      <c r="X193" s="27">
        <f t="shared" si="131"/>
        <v>0</v>
      </c>
      <c r="Y193" s="27">
        <f t="shared" si="132"/>
        <v>0</v>
      </c>
      <c r="Z193" s="4">
        <f t="shared" si="133"/>
        <v>0</v>
      </c>
      <c r="AA193" s="82">
        <f>+'Finished goods'!$O$3*'PRIVATE CUSTOMER (BtoC)'!T193</f>
        <v>0</v>
      </c>
      <c r="AB193" s="82">
        <f>+'Finished goods'!$P$19*R193</f>
        <v>0</v>
      </c>
      <c r="AC193" s="83">
        <f t="shared" si="134"/>
        <v>0</v>
      </c>
      <c r="AD193" s="93" t="e">
        <f t="shared" si="135"/>
        <v>#DIV/0!</v>
      </c>
      <c r="AE193" s="93">
        <f>+'REVENUE DATA'!$D$19</f>
        <v>30</v>
      </c>
      <c r="AF193" s="90" t="e">
        <f t="shared" si="136"/>
        <v>#DIV/0!</v>
      </c>
      <c r="AG193" s="91" t="e">
        <f t="shared" si="137"/>
        <v>#DIV/0!</v>
      </c>
      <c r="AH193" s="92">
        <f t="shared" si="138"/>
        <v>0</v>
      </c>
    </row>
    <row r="194" spans="1:34" x14ac:dyDescent="0.3">
      <c r="A194" s="223"/>
      <c r="B194" s="4"/>
      <c r="C194" s="4" t="str">
        <f t="shared" si="127"/>
        <v>Caraffa colonna twist2</v>
      </c>
      <c r="D194" s="5">
        <f t="shared" si="127"/>
        <v>2</v>
      </c>
      <c r="E194" s="5">
        <f t="shared" si="127"/>
        <v>1</v>
      </c>
      <c r="F194" s="5">
        <f t="shared" si="127"/>
        <v>1.45</v>
      </c>
      <c r="G194" s="5">
        <f t="shared" si="127"/>
        <v>105</v>
      </c>
      <c r="H194" s="4">
        <f t="shared" si="127"/>
        <v>3.4271101000000001E-4</v>
      </c>
      <c r="I194" s="6">
        <f t="shared" si="127"/>
        <v>0.95197502777777776</v>
      </c>
      <c r="J194" s="6">
        <f t="shared" si="127"/>
        <v>0.85677752500000004</v>
      </c>
      <c r="R194" s="23">
        <v>0</v>
      </c>
      <c r="S194" s="6">
        <f t="shared" si="125"/>
        <v>0</v>
      </c>
      <c r="T194" s="6">
        <f t="shared" si="128"/>
        <v>0</v>
      </c>
      <c r="U194" s="4">
        <f t="shared" si="129"/>
        <v>0</v>
      </c>
      <c r="V194" s="115">
        <f>+S194*$M$3/'COST DATA'!$D$26</f>
        <v>0</v>
      </c>
      <c r="W194" s="16">
        <f t="shared" si="139"/>
        <v>0</v>
      </c>
      <c r="X194" s="27">
        <f t="shared" si="131"/>
        <v>0</v>
      </c>
      <c r="Y194" s="27">
        <f t="shared" si="132"/>
        <v>0</v>
      </c>
      <c r="Z194" s="4">
        <f t="shared" si="133"/>
        <v>0</v>
      </c>
      <c r="AA194" s="82">
        <f>+'Finished goods'!$O$3*'PRIVATE CUSTOMER (BtoC)'!T194</f>
        <v>0</v>
      </c>
      <c r="AB194" s="82">
        <f>+'Finished goods'!$P$20*R194</f>
        <v>0</v>
      </c>
      <c r="AC194" s="83">
        <f t="shared" si="134"/>
        <v>0</v>
      </c>
      <c r="AD194" s="93" t="e">
        <f t="shared" si="135"/>
        <v>#DIV/0!</v>
      </c>
      <c r="AE194" s="93">
        <f>+'REVENUE DATA'!$D$20</f>
        <v>30</v>
      </c>
      <c r="AF194" s="90" t="e">
        <f t="shared" si="136"/>
        <v>#DIV/0!</v>
      </c>
      <c r="AG194" s="91" t="e">
        <f t="shared" si="137"/>
        <v>#DIV/0!</v>
      </c>
      <c r="AH194" s="92">
        <f t="shared" si="138"/>
        <v>0</v>
      </c>
    </row>
    <row r="195" spans="1:34" x14ac:dyDescent="0.3">
      <c r="A195" s="223"/>
      <c r="B195" s="4"/>
      <c r="C195" s="4" t="str">
        <f t="shared" si="127"/>
        <v>Caraffa colonna twist3</v>
      </c>
      <c r="D195" s="5">
        <f t="shared" si="127"/>
        <v>2</v>
      </c>
      <c r="E195" s="5">
        <f t="shared" si="127"/>
        <v>1</v>
      </c>
      <c r="F195" s="5">
        <f t="shared" si="127"/>
        <v>1.42</v>
      </c>
      <c r="G195" s="5">
        <f t="shared" si="127"/>
        <v>102</v>
      </c>
      <c r="H195" s="4">
        <f t="shared" si="127"/>
        <v>3.3727121999999998E-4</v>
      </c>
      <c r="I195" s="6">
        <f t="shared" si="127"/>
        <v>0.93686449999999988</v>
      </c>
      <c r="J195" s="6">
        <f t="shared" si="127"/>
        <v>0.8431780499999999</v>
      </c>
      <c r="R195" s="23">
        <v>0</v>
      </c>
      <c r="S195" s="6">
        <f t="shared" si="125"/>
        <v>0</v>
      </c>
      <c r="T195" s="6">
        <f t="shared" si="128"/>
        <v>0</v>
      </c>
      <c r="U195" s="4">
        <f t="shared" si="129"/>
        <v>0</v>
      </c>
      <c r="V195" s="115">
        <f>+S195*$M$3/'COST DATA'!$D$26</f>
        <v>0</v>
      </c>
      <c r="W195" s="16">
        <f t="shared" si="139"/>
        <v>0</v>
      </c>
      <c r="X195" s="27">
        <f t="shared" si="131"/>
        <v>0</v>
      </c>
      <c r="Y195" s="27">
        <f t="shared" si="132"/>
        <v>0</v>
      </c>
      <c r="Z195" s="4">
        <f t="shared" si="133"/>
        <v>0</v>
      </c>
      <c r="AA195" s="82">
        <f>+'Finished goods'!$O$3*'PRIVATE CUSTOMER (BtoC)'!T195</f>
        <v>0</v>
      </c>
      <c r="AB195" s="82">
        <f>+'Finished goods'!$P$21*R195</f>
        <v>0</v>
      </c>
      <c r="AC195" s="83">
        <f t="shared" si="134"/>
        <v>0</v>
      </c>
      <c r="AD195" s="93" t="e">
        <f t="shared" si="135"/>
        <v>#DIV/0!</v>
      </c>
      <c r="AE195" s="93">
        <f>+'REVENUE DATA'!$D$21</f>
        <v>30</v>
      </c>
      <c r="AF195" s="90" t="e">
        <f t="shared" si="136"/>
        <v>#DIV/0!</v>
      </c>
      <c r="AG195" s="91" t="e">
        <f t="shared" si="137"/>
        <v>#DIV/0!</v>
      </c>
      <c r="AH195" s="92">
        <f t="shared" si="138"/>
        <v>0</v>
      </c>
    </row>
    <row r="196" spans="1:34" x14ac:dyDescent="0.3">
      <c r="A196" s="223"/>
      <c r="B196" s="4"/>
      <c r="C196" s="4" t="str">
        <f t="shared" si="127"/>
        <v>Bicchiere colonna twist1</v>
      </c>
      <c r="D196" s="5">
        <f t="shared" si="127"/>
        <v>1</v>
      </c>
      <c r="E196" s="5">
        <f t="shared" si="127"/>
        <v>1</v>
      </c>
      <c r="F196" s="5">
        <f t="shared" si="127"/>
        <v>0.57999999999999996</v>
      </c>
      <c r="G196" s="5">
        <f t="shared" si="127"/>
        <v>58</v>
      </c>
      <c r="H196" s="4">
        <f t="shared" si="127"/>
        <v>9.7981700000000004E-5</v>
      </c>
      <c r="I196" s="6">
        <f t="shared" si="127"/>
        <v>0.27217138888888892</v>
      </c>
      <c r="J196" s="6">
        <f t="shared" si="127"/>
        <v>0.24495425000000001</v>
      </c>
      <c r="R196" s="23">
        <v>0</v>
      </c>
      <c r="S196" s="6">
        <f t="shared" si="125"/>
        <v>0</v>
      </c>
      <c r="T196" s="6">
        <f t="shared" si="128"/>
        <v>0</v>
      </c>
      <c r="U196" s="4">
        <f t="shared" si="129"/>
        <v>0</v>
      </c>
      <c r="V196" s="115">
        <f>+S196*$M$3/'COST DATA'!$D$26</f>
        <v>0</v>
      </c>
      <c r="W196" s="16">
        <f t="shared" si="139"/>
        <v>0</v>
      </c>
      <c r="X196" s="27">
        <f t="shared" si="131"/>
        <v>0</v>
      </c>
      <c r="Y196" s="27">
        <f t="shared" si="132"/>
        <v>0</v>
      </c>
      <c r="Z196" s="4">
        <f t="shared" si="133"/>
        <v>0</v>
      </c>
      <c r="AA196" s="82">
        <f>+'Finished goods'!$O$3*'PRIVATE CUSTOMER (BtoC)'!T196</f>
        <v>0</v>
      </c>
      <c r="AB196" s="82">
        <f>+'Finished goods'!$P$22*R196</f>
        <v>0</v>
      </c>
      <c r="AC196" s="83">
        <f t="shared" si="134"/>
        <v>0</v>
      </c>
      <c r="AD196" s="93" t="e">
        <f t="shared" si="135"/>
        <v>#DIV/0!</v>
      </c>
      <c r="AE196" s="93">
        <f>+'REVENUE DATA'!$D$22</f>
        <v>0</v>
      </c>
      <c r="AF196" s="90" t="e">
        <f t="shared" si="136"/>
        <v>#DIV/0!</v>
      </c>
      <c r="AG196" s="91" t="e">
        <f t="shared" si="137"/>
        <v>#DIV/0!</v>
      </c>
      <c r="AH196" s="92">
        <f t="shared" si="138"/>
        <v>0</v>
      </c>
    </row>
    <row r="197" spans="1:34" x14ac:dyDescent="0.3">
      <c r="A197" s="223"/>
      <c r="B197" s="4"/>
      <c r="C197" s="4" t="str">
        <f t="shared" si="127"/>
        <v>Bicchiere colonna twist2</v>
      </c>
      <c r="D197" s="5">
        <f t="shared" si="127"/>
        <v>1</v>
      </c>
      <c r="E197" s="5">
        <f t="shared" si="127"/>
        <v>1</v>
      </c>
      <c r="F197" s="5">
        <f t="shared" si="127"/>
        <v>0.59</v>
      </c>
      <c r="G197" s="5">
        <f t="shared" si="127"/>
        <v>59</v>
      </c>
      <c r="H197" s="4">
        <f t="shared" si="127"/>
        <v>9.7982366999999995E-5</v>
      </c>
      <c r="I197" s="6">
        <f t="shared" si="127"/>
        <v>0.27217324166666662</v>
      </c>
      <c r="J197" s="6">
        <f t="shared" si="127"/>
        <v>0.24495591749999998</v>
      </c>
      <c r="R197" s="23">
        <v>0</v>
      </c>
      <c r="S197" s="6">
        <f t="shared" si="125"/>
        <v>0</v>
      </c>
      <c r="T197" s="6">
        <f t="shared" si="128"/>
        <v>0</v>
      </c>
      <c r="U197" s="4">
        <f t="shared" si="129"/>
        <v>0</v>
      </c>
      <c r="V197" s="115">
        <f>+S197*$M$3/'COST DATA'!$D$26</f>
        <v>0</v>
      </c>
      <c r="W197" s="16">
        <f t="shared" si="139"/>
        <v>0</v>
      </c>
      <c r="X197" s="27">
        <f t="shared" si="131"/>
        <v>0</v>
      </c>
      <c r="Y197" s="27">
        <f t="shared" si="132"/>
        <v>0</v>
      </c>
      <c r="Z197" s="4">
        <f t="shared" si="133"/>
        <v>0</v>
      </c>
      <c r="AA197" s="82">
        <f>+'Finished goods'!$O$3*'PRIVATE CUSTOMER (BtoC)'!T197</f>
        <v>0</v>
      </c>
      <c r="AB197" s="82">
        <f>+'Finished goods'!$P$23*R197</f>
        <v>0</v>
      </c>
      <c r="AC197" s="83">
        <f t="shared" si="134"/>
        <v>0</v>
      </c>
      <c r="AD197" s="93" t="e">
        <f t="shared" si="135"/>
        <v>#DIV/0!</v>
      </c>
      <c r="AE197" s="93">
        <f>+'REVENUE DATA'!$D$23</f>
        <v>0</v>
      </c>
      <c r="AF197" s="90" t="e">
        <f t="shared" si="136"/>
        <v>#DIV/0!</v>
      </c>
      <c r="AG197" s="91" t="e">
        <f t="shared" si="137"/>
        <v>#DIV/0!</v>
      </c>
      <c r="AH197" s="92">
        <f t="shared" si="138"/>
        <v>0</v>
      </c>
    </row>
    <row r="198" spans="1:34" x14ac:dyDescent="0.3">
      <c r="A198" s="223"/>
      <c r="B198" s="4"/>
      <c r="C198" s="4" t="str">
        <f t="shared" si="127"/>
        <v>Bicchiere colonna twist3</v>
      </c>
      <c r="D198" s="5">
        <f t="shared" si="127"/>
        <v>1</v>
      </c>
      <c r="E198" s="5">
        <f t="shared" si="127"/>
        <v>1</v>
      </c>
      <c r="F198" s="5">
        <f t="shared" si="127"/>
        <v>0.59</v>
      </c>
      <c r="G198" s="5">
        <f t="shared" si="127"/>
        <v>59</v>
      </c>
      <c r="H198" s="4">
        <f t="shared" si="127"/>
        <v>9.7984652999999995E-5</v>
      </c>
      <c r="I198" s="6">
        <f t="shared" si="127"/>
        <v>0.27217959166666666</v>
      </c>
      <c r="J198" s="6">
        <f t="shared" si="127"/>
        <v>0.2449616325</v>
      </c>
      <c r="R198" s="23">
        <v>0</v>
      </c>
      <c r="S198" s="6">
        <f t="shared" si="125"/>
        <v>0</v>
      </c>
      <c r="T198" s="6">
        <f t="shared" si="128"/>
        <v>0</v>
      </c>
      <c r="U198" s="4">
        <f t="shared" si="129"/>
        <v>0</v>
      </c>
      <c r="V198" s="115">
        <f>+S198*$M$3/'COST DATA'!$D$26</f>
        <v>0</v>
      </c>
      <c r="W198" s="16">
        <f t="shared" si="139"/>
        <v>0</v>
      </c>
      <c r="X198" s="27">
        <f t="shared" si="131"/>
        <v>0</v>
      </c>
      <c r="Y198" s="27">
        <f t="shared" si="132"/>
        <v>0</v>
      </c>
      <c r="Z198" s="4">
        <f t="shared" si="133"/>
        <v>0</v>
      </c>
      <c r="AA198" s="82">
        <f>+'Finished goods'!$O$3*'PRIVATE CUSTOMER (BtoC)'!T198</f>
        <v>0</v>
      </c>
      <c r="AB198" s="82">
        <f>+'Finished goods'!$P$24*R198</f>
        <v>0</v>
      </c>
      <c r="AC198" s="83">
        <f t="shared" si="134"/>
        <v>0</v>
      </c>
      <c r="AD198" s="93" t="e">
        <f t="shared" si="135"/>
        <v>#DIV/0!</v>
      </c>
      <c r="AE198" s="93">
        <f>+'REVENUE DATA'!$D$24</f>
        <v>0</v>
      </c>
      <c r="AF198" s="90" t="e">
        <f t="shared" si="136"/>
        <v>#DIV/0!</v>
      </c>
      <c r="AG198" s="91" t="e">
        <f t="shared" si="137"/>
        <v>#DIV/0!</v>
      </c>
      <c r="AH198" s="92">
        <f t="shared" si="138"/>
        <v>0</v>
      </c>
    </row>
    <row r="199" spans="1:34" x14ac:dyDescent="0.3">
      <c r="A199" s="223"/>
      <c r="B199" s="4"/>
      <c r="C199" s="4" t="str">
        <f t="shared" si="127"/>
        <v>Bicchiere colonna twist alto</v>
      </c>
      <c r="D199" s="5">
        <f t="shared" si="127"/>
        <v>1</v>
      </c>
      <c r="E199" s="5">
        <f t="shared" si="127"/>
        <v>1</v>
      </c>
      <c r="F199" s="5">
        <f t="shared" si="127"/>
        <v>0.57999999999999996</v>
      </c>
      <c r="G199" s="5">
        <f t="shared" si="127"/>
        <v>58</v>
      </c>
      <c r="H199" s="4">
        <f t="shared" si="127"/>
        <v>9.4065272999999995E-5</v>
      </c>
      <c r="I199" s="6">
        <f t="shared" si="127"/>
        <v>0.26129242499999999</v>
      </c>
      <c r="J199" s="6">
        <f t="shared" si="127"/>
        <v>0.23516318249999998</v>
      </c>
      <c r="R199" s="23">
        <v>0</v>
      </c>
      <c r="S199" s="6">
        <f t="shared" si="125"/>
        <v>0</v>
      </c>
      <c r="T199" s="6">
        <f t="shared" si="128"/>
        <v>0</v>
      </c>
      <c r="U199" s="4">
        <f t="shared" si="129"/>
        <v>0</v>
      </c>
      <c r="V199" s="115">
        <f>+S199*$M$3/'COST DATA'!$D$26</f>
        <v>0</v>
      </c>
      <c r="W199" s="16">
        <f t="shared" si="139"/>
        <v>0</v>
      </c>
      <c r="X199" s="27">
        <f t="shared" si="131"/>
        <v>0</v>
      </c>
      <c r="Y199" s="27">
        <f t="shared" si="132"/>
        <v>0</v>
      </c>
      <c r="Z199" s="4">
        <f t="shared" si="133"/>
        <v>0</v>
      </c>
      <c r="AA199" s="82">
        <f>+'Finished goods'!$O$3*'PRIVATE CUSTOMER (BtoC)'!T199</f>
        <v>0</v>
      </c>
      <c r="AB199" s="82">
        <f>+'Finished goods'!$P$25*R199</f>
        <v>0</v>
      </c>
      <c r="AC199" s="83">
        <f t="shared" si="134"/>
        <v>0</v>
      </c>
      <c r="AD199" s="93" t="e">
        <f t="shared" si="135"/>
        <v>#DIV/0!</v>
      </c>
      <c r="AE199" s="93">
        <f>+'REVENUE DATA'!$D$25</f>
        <v>0</v>
      </c>
      <c r="AF199" s="90" t="e">
        <f t="shared" si="136"/>
        <v>#DIV/0!</v>
      </c>
      <c r="AG199" s="91" t="e">
        <f t="shared" si="137"/>
        <v>#DIV/0!</v>
      </c>
      <c r="AH199" s="92">
        <f t="shared" si="138"/>
        <v>0</v>
      </c>
    </row>
    <row r="200" spans="1:34" x14ac:dyDescent="0.3">
      <c r="A200" s="223"/>
      <c r="B200" s="4"/>
      <c r="C200" s="4" t="str">
        <f t="shared" si="127"/>
        <v>Oliera1</v>
      </c>
      <c r="D200" s="5">
        <f t="shared" si="127"/>
        <v>2</v>
      </c>
      <c r="E200" s="5">
        <f t="shared" si="127"/>
        <v>1</v>
      </c>
      <c r="F200" s="5">
        <f t="shared" si="127"/>
        <v>0.54</v>
      </c>
      <c r="G200" s="5">
        <f t="shared" si="127"/>
        <v>54</v>
      </c>
      <c r="H200" s="4">
        <f t="shared" si="127"/>
        <v>1.830542E-4</v>
      </c>
      <c r="I200" s="6">
        <f t="shared" si="127"/>
        <v>0.50848388888888885</v>
      </c>
      <c r="J200" s="6">
        <f t="shared" si="127"/>
        <v>0.45763549999999997</v>
      </c>
      <c r="R200" s="23">
        <v>0</v>
      </c>
      <c r="S200" s="6">
        <f t="shared" si="125"/>
        <v>0</v>
      </c>
      <c r="T200" s="6">
        <f t="shared" si="128"/>
        <v>0</v>
      </c>
      <c r="U200" s="4">
        <f t="shared" si="129"/>
        <v>0</v>
      </c>
      <c r="V200" s="115">
        <f>+S200*$M$3/'COST DATA'!$D$26</f>
        <v>0</v>
      </c>
      <c r="W200" s="16">
        <f t="shared" si="139"/>
        <v>0</v>
      </c>
      <c r="X200" s="27">
        <f t="shared" si="131"/>
        <v>0</v>
      </c>
      <c r="Y200" s="27">
        <f t="shared" si="132"/>
        <v>0</v>
      </c>
      <c r="Z200" s="4">
        <f t="shared" si="133"/>
        <v>0</v>
      </c>
      <c r="AA200" s="82">
        <f>+'Finished goods'!$O$3*'PRIVATE CUSTOMER (BtoC)'!T200</f>
        <v>0</v>
      </c>
      <c r="AB200" s="82">
        <f>+'Finished goods'!$P$26*R200</f>
        <v>0</v>
      </c>
      <c r="AC200" s="83">
        <f t="shared" si="134"/>
        <v>0</v>
      </c>
      <c r="AD200" s="93" t="e">
        <f t="shared" si="135"/>
        <v>#DIV/0!</v>
      </c>
      <c r="AE200" s="93">
        <f>+'REVENUE DATA'!$D$26</f>
        <v>0</v>
      </c>
      <c r="AF200" s="90" t="e">
        <f t="shared" si="136"/>
        <v>#DIV/0!</v>
      </c>
      <c r="AG200" s="91" t="e">
        <f t="shared" si="137"/>
        <v>#DIV/0!</v>
      </c>
      <c r="AH200" s="92">
        <f t="shared" si="138"/>
        <v>0</v>
      </c>
    </row>
    <row r="201" spans="1:34" ht="15" thickBot="1" x14ac:dyDescent="0.35">
      <c r="A201" s="224"/>
      <c r="B201" s="4"/>
      <c r="C201" s="4" t="str">
        <f t="shared" si="127"/>
        <v>Piatto spirale</v>
      </c>
      <c r="D201" s="5">
        <f t="shared" si="127"/>
        <v>4</v>
      </c>
      <c r="E201" s="5">
        <f t="shared" si="127"/>
        <v>5</v>
      </c>
      <c r="F201" s="5">
        <f t="shared" si="127"/>
        <v>0.25</v>
      </c>
      <c r="G201" s="5">
        <f t="shared" si="127"/>
        <v>25</v>
      </c>
      <c r="H201" s="4">
        <f t="shared" si="127"/>
        <v>1.575448E-4</v>
      </c>
      <c r="I201" s="6">
        <f t="shared" si="127"/>
        <v>0.43762444444444443</v>
      </c>
      <c r="J201" s="6">
        <f t="shared" si="127"/>
        <v>0.39386199999999999</v>
      </c>
      <c r="R201" s="23">
        <v>0</v>
      </c>
      <c r="S201" s="6">
        <f t="shared" si="125"/>
        <v>0</v>
      </c>
      <c r="T201" s="6">
        <f t="shared" si="128"/>
        <v>0</v>
      </c>
      <c r="U201" s="4">
        <f t="shared" si="129"/>
        <v>0</v>
      </c>
      <c r="V201" s="116">
        <f>+S201*$M$3/'COST DATA'!$D$26</f>
        <v>0</v>
      </c>
      <c r="W201" s="117">
        <f t="shared" si="139"/>
        <v>0</v>
      </c>
      <c r="X201" s="118">
        <f t="shared" si="131"/>
        <v>0</v>
      </c>
      <c r="Y201" s="118">
        <f t="shared" si="132"/>
        <v>0</v>
      </c>
      <c r="Z201" s="119">
        <f t="shared" si="133"/>
        <v>0</v>
      </c>
      <c r="AA201" s="85">
        <f>+'Finished goods'!$O$3*'PRIVATE CUSTOMER (BtoC)'!T201</f>
        <v>0</v>
      </c>
      <c r="AB201" s="85">
        <f>+'Finished goods'!$P$27*R201</f>
        <v>0</v>
      </c>
      <c r="AC201" s="86">
        <f t="shared" si="134"/>
        <v>0</v>
      </c>
      <c r="AD201" s="93" t="e">
        <f t="shared" si="135"/>
        <v>#DIV/0!</v>
      </c>
      <c r="AE201" s="93">
        <f>+'REVENUE DATA'!$D$27</f>
        <v>0</v>
      </c>
      <c r="AF201" s="90" t="e">
        <f t="shared" si="136"/>
        <v>#DIV/0!</v>
      </c>
      <c r="AG201" s="91" t="e">
        <f t="shared" si="137"/>
        <v>#DIV/0!</v>
      </c>
      <c r="AH201" s="92">
        <f t="shared" si="138"/>
        <v>0</v>
      </c>
    </row>
    <row r="204" spans="1:34" ht="18.600000000000001" thickBot="1" x14ac:dyDescent="0.4">
      <c r="D204" s="237" t="s">
        <v>40</v>
      </c>
      <c r="E204" s="237"/>
      <c r="F204" s="237"/>
      <c r="G204" s="237"/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10" t="s">
        <v>32</v>
      </c>
      <c r="S204" s="87">
        <f>+S206/60/7</f>
        <v>0</v>
      </c>
      <c r="T204" s="88" t="s">
        <v>83</v>
      </c>
    </row>
    <row r="205" spans="1:34" x14ac:dyDescent="0.3">
      <c r="D205" s="236" t="s">
        <v>33</v>
      </c>
      <c r="E205" s="236"/>
      <c r="F205" s="236"/>
      <c r="G205" s="236"/>
      <c r="H205" s="236"/>
      <c r="I205" s="236"/>
      <c r="J205" s="236"/>
      <c r="M205" s="236" t="s">
        <v>36</v>
      </c>
      <c r="N205" s="236"/>
      <c r="O205" s="236"/>
      <c r="P205" s="236"/>
      <c r="Q205" s="236"/>
      <c r="V205" s="238" t="s">
        <v>135</v>
      </c>
      <c r="W205" s="239"/>
      <c r="X205" s="239"/>
      <c r="Y205" s="239"/>
      <c r="Z205" s="239"/>
      <c r="AA205" s="239"/>
      <c r="AB205" s="239"/>
      <c r="AC205" s="240"/>
    </row>
    <row r="206" spans="1:34" ht="18" x14ac:dyDescent="0.35">
      <c r="F206" s="225" t="s">
        <v>44</v>
      </c>
      <c r="G206" s="225"/>
      <c r="I206" s="20">
        <f>SUBTOTAL(9,I208:I230)</f>
        <v>59.570075669444442</v>
      </c>
      <c r="J206" s="20">
        <f>SUBTOTAL(9,J208:J230)</f>
        <v>53.613068102499987</v>
      </c>
      <c r="K206" s="1">
        <f>+'Finished goods'!$I$3</f>
        <v>2500</v>
      </c>
      <c r="L206" s="1">
        <f>+'Finished goods'!$J$3</f>
        <v>0.9</v>
      </c>
      <c r="M206" s="15">
        <f>+'Finished goods'!$K$3</f>
        <v>0.50772709939119998</v>
      </c>
      <c r="N206" s="15">
        <f>+'Finished goods'!$L$3</f>
        <v>6.7889999999999999E-3</v>
      </c>
      <c r="O206" s="13">
        <f>+'Finished goods'!$M$3</f>
        <v>0.15750000000000003</v>
      </c>
      <c r="P206" s="46">
        <f>+'Finished goods'!$N$3</f>
        <v>5.8880308880308881E-2</v>
      </c>
      <c r="Q206" s="1"/>
      <c r="S206" s="17">
        <f>SUBTOTAL(9,S208:S230)</f>
        <v>0</v>
      </c>
      <c r="T206" s="17">
        <f>SUBTOTAL(9,T208:T230)</f>
        <v>0</v>
      </c>
      <c r="U206" s="75">
        <f>SUBTOTAL(9,U208:U230)</f>
        <v>0</v>
      </c>
      <c r="V206" s="77">
        <f t="shared" ref="V206:AC206" si="140">SUBTOTAL(9,V208:V230)</f>
        <v>0</v>
      </c>
      <c r="W206" s="17">
        <f t="shared" si="140"/>
        <v>0</v>
      </c>
      <c r="X206" s="17">
        <f t="shared" si="140"/>
        <v>0</v>
      </c>
      <c r="Y206" s="17">
        <f t="shared" si="140"/>
        <v>0</v>
      </c>
      <c r="Z206" s="17">
        <f t="shared" si="140"/>
        <v>0</v>
      </c>
      <c r="AA206" s="17">
        <f t="shared" si="140"/>
        <v>0</v>
      </c>
      <c r="AB206" s="17">
        <f t="shared" si="140"/>
        <v>0</v>
      </c>
      <c r="AC206" s="78">
        <f t="shared" si="140"/>
        <v>0</v>
      </c>
      <c r="AF206" s="225" t="s">
        <v>118</v>
      </c>
      <c r="AG206" s="225"/>
      <c r="AH206" s="108">
        <f t="shared" ref="AH206" si="141">SUBTOTAL(9,AH208:AH230)</f>
        <v>0</v>
      </c>
    </row>
    <row r="207" spans="1:34" x14ac:dyDescent="0.3">
      <c r="A207" s="1" t="s">
        <v>145</v>
      </c>
      <c r="B207" s="1" t="s">
        <v>30</v>
      </c>
      <c r="C207" s="1" t="s">
        <v>0</v>
      </c>
      <c r="D207" s="1" t="s">
        <v>4</v>
      </c>
      <c r="E207" s="1" t="s">
        <v>5</v>
      </c>
      <c r="F207" s="1" t="s">
        <v>45</v>
      </c>
      <c r="G207" s="1" t="s">
        <v>57</v>
      </c>
      <c r="H207" s="1" t="s">
        <v>6</v>
      </c>
      <c r="I207" s="1" t="s">
        <v>2</v>
      </c>
      <c r="J207" s="1" t="s">
        <v>7</v>
      </c>
      <c r="K207" s="1" t="s">
        <v>31</v>
      </c>
      <c r="L207" s="1" t="s">
        <v>8</v>
      </c>
      <c r="M207" s="1" t="s">
        <v>34</v>
      </c>
      <c r="N207" s="1" t="s">
        <v>35</v>
      </c>
      <c r="O207" s="1" t="s">
        <v>37</v>
      </c>
      <c r="P207" s="1" t="s">
        <v>93</v>
      </c>
      <c r="Q207" s="1" t="s">
        <v>94</v>
      </c>
      <c r="R207" s="11" t="s">
        <v>39</v>
      </c>
      <c r="S207" s="2" t="s">
        <v>43</v>
      </c>
      <c r="T207" s="2" t="s">
        <v>2</v>
      </c>
      <c r="U207" s="76" t="s">
        <v>7</v>
      </c>
      <c r="V207" s="79" t="str">
        <f>+V4</f>
        <v>energia €/h</v>
      </c>
      <c r="W207" s="79" t="str">
        <f t="shared" ref="W207:AB207" si="142">+W4</f>
        <v>materiale €/Kg</v>
      </c>
      <c r="X207" s="79" t="str">
        <f t="shared" si="142"/>
        <v>mod</v>
      </c>
      <c r="Y207" s="79" t="str">
        <f t="shared" si="142"/>
        <v>ammort</v>
      </c>
      <c r="Z207" s="79" t="str">
        <f t="shared" si="142"/>
        <v>Accensione</v>
      </c>
      <c r="AA207" s="79" t="str">
        <f t="shared" si="142"/>
        <v>trasporto</v>
      </c>
      <c r="AB207" s="79" t="str">
        <f t="shared" si="142"/>
        <v>forniture</v>
      </c>
      <c r="AC207" s="80" t="s">
        <v>42</v>
      </c>
      <c r="AD207" s="53" t="s">
        <v>116</v>
      </c>
      <c r="AE207" s="1" t="s">
        <v>117</v>
      </c>
      <c r="AF207" s="1" t="s">
        <v>119</v>
      </c>
      <c r="AG207" s="1" t="s">
        <v>120</v>
      </c>
      <c r="AH207" s="1" t="s">
        <v>121</v>
      </c>
    </row>
    <row r="208" spans="1:34" x14ac:dyDescent="0.3">
      <c r="A208" s="222" t="s">
        <v>418</v>
      </c>
      <c r="B208" s="4"/>
      <c r="C208" s="4" t="str">
        <f>+C179</f>
        <v>Tavolo twist Logo</v>
      </c>
      <c r="D208" s="5">
        <f>+D179</f>
        <v>8</v>
      </c>
      <c r="E208" s="5">
        <f t="shared" ref="E208:Q208" si="143">+E179</f>
        <v>10</v>
      </c>
      <c r="F208" s="5">
        <f t="shared" si="143"/>
        <v>1.22</v>
      </c>
      <c r="G208" s="5">
        <f t="shared" si="143"/>
        <v>82</v>
      </c>
      <c r="H208" s="4">
        <f t="shared" si="143"/>
        <v>7.9769999999999997E-3</v>
      </c>
      <c r="I208" s="6">
        <f t="shared" si="143"/>
        <v>22.158333333333331</v>
      </c>
      <c r="J208" s="6">
        <f t="shared" si="143"/>
        <v>19.942499999999999</v>
      </c>
      <c r="K208" s="5">
        <f t="shared" si="143"/>
        <v>0</v>
      </c>
      <c r="L208" s="5">
        <f t="shared" si="143"/>
        <v>0</v>
      </c>
      <c r="M208" s="5">
        <f t="shared" si="143"/>
        <v>0</v>
      </c>
      <c r="N208" s="5">
        <f t="shared" si="143"/>
        <v>0</v>
      </c>
      <c r="O208" s="5">
        <f t="shared" si="143"/>
        <v>0</v>
      </c>
      <c r="P208" s="5">
        <f t="shared" si="143"/>
        <v>0</v>
      </c>
      <c r="Q208" s="5">
        <f t="shared" si="143"/>
        <v>0</v>
      </c>
      <c r="R208" s="23">
        <v>0</v>
      </c>
      <c r="S208" s="6">
        <f t="shared" ref="S208:S230" si="144">+G208*$R208</f>
        <v>0</v>
      </c>
      <c r="T208" s="6">
        <f t="shared" ref="T208" si="145">+I208*$R208</f>
        <v>0</v>
      </c>
      <c r="U208" s="4">
        <f>+J208*$R208</f>
        <v>0</v>
      </c>
      <c r="V208" s="115">
        <f>+S208*$M$3/'COST DATA'!$D$26</f>
        <v>0</v>
      </c>
      <c r="W208" s="16">
        <f>+U208*$N$3</f>
        <v>0</v>
      </c>
      <c r="X208" s="27">
        <f>+S208*$O$3</f>
        <v>0</v>
      </c>
      <c r="Y208" s="27">
        <f>+S208*$P$3</f>
        <v>0</v>
      </c>
      <c r="Z208" s="4">
        <f>+(S208/$S$3)*($S$1)</f>
        <v>0</v>
      </c>
      <c r="AA208" s="82">
        <f>+'Finished goods'!$O$3*'PRIVATE CUSTOMER (BtoC)'!T208</f>
        <v>0</v>
      </c>
      <c r="AB208" s="82">
        <f>+'Finished goods'!$P$5*R208</f>
        <v>0</v>
      </c>
      <c r="AC208" s="83">
        <f>SUM(V208:AB208)</f>
        <v>0</v>
      </c>
      <c r="AD208" s="93" t="e">
        <f>+AC208/R208</f>
        <v>#DIV/0!</v>
      </c>
      <c r="AE208" s="93">
        <f>+'REVENUE DATA'!$D$5</f>
        <v>1200</v>
      </c>
      <c r="AF208" s="90" t="e">
        <f>+AE208-AD208</f>
        <v>#DIV/0!</v>
      </c>
      <c r="AG208" s="91" t="e">
        <f>+AF208/AD208</f>
        <v>#DIV/0!</v>
      </c>
      <c r="AH208" s="92">
        <f>+AE208*R208</f>
        <v>0</v>
      </c>
    </row>
    <row r="209" spans="1:34" x14ac:dyDescent="0.3">
      <c r="A209" s="223"/>
      <c r="B209" s="4"/>
      <c r="C209" s="4" t="str">
        <f t="shared" ref="C209:J230" si="146">+C180</f>
        <v xml:space="preserve">Vaso bitorzolo curvo </v>
      </c>
      <c r="D209" s="5">
        <f t="shared" si="146"/>
        <v>4</v>
      </c>
      <c r="E209" s="5">
        <f t="shared" si="146"/>
        <v>2</v>
      </c>
      <c r="F209" s="5">
        <f t="shared" si="146"/>
        <v>5.21</v>
      </c>
      <c r="G209" s="5">
        <f t="shared" si="146"/>
        <v>321</v>
      </c>
      <c r="H209" s="4">
        <f t="shared" si="146"/>
        <v>6.0029599999999995E-4</v>
      </c>
      <c r="I209" s="6">
        <f t="shared" si="146"/>
        <v>1.6674888888888888</v>
      </c>
      <c r="J209" s="6">
        <f t="shared" si="146"/>
        <v>1.50074</v>
      </c>
      <c r="R209" s="23">
        <v>0</v>
      </c>
      <c r="S209" s="6">
        <f t="shared" si="144"/>
        <v>0</v>
      </c>
      <c r="T209" s="6">
        <f t="shared" ref="T209:T230" si="147">+H209*$R209</f>
        <v>0</v>
      </c>
      <c r="U209" s="4">
        <f t="shared" ref="U209:U230" si="148">+J209*$R209</f>
        <v>0</v>
      </c>
      <c r="V209" s="115">
        <f>+S209*$M$3/'COST DATA'!$D$26</f>
        <v>0</v>
      </c>
      <c r="W209" s="16">
        <f t="shared" ref="W209:W219" si="149">+U209*$N$3</f>
        <v>0</v>
      </c>
      <c r="X209" s="27">
        <f t="shared" ref="X209:X230" si="150">+S209*$O$3</f>
        <v>0</v>
      </c>
      <c r="Y209" s="27">
        <f t="shared" ref="Y209:Y230" si="151">+S209*$P$3</f>
        <v>0</v>
      </c>
      <c r="Z209" s="4">
        <f t="shared" ref="Z209:Z230" si="152">+(S209/$S$3)*($S$1)</f>
        <v>0</v>
      </c>
      <c r="AA209" s="82">
        <f>+'Finished goods'!$O$3*'PRIVATE CUSTOMER (BtoC)'!T209</f>
        <v>0</v>
      </c>
      <c r="AB209" s="82">
        <f>+'Finished goods'!$P$6*R209</f>
        <v>0</v>
      </c>
      <c r="AC209" s="83">
        <f t="shared" ref="AC209:AC230" si="153">SUM(V209:AB209)</f>
        <v>0</v>
      </c>
      <c r="AD209" s="93" t="e">
        <f t="shared" ref="AD209:AD230" si="154">+AC209/R209</f>
        <v>#DIV/0!</v>
      </c>
      <c r="AE209" s="93">
        <f>+'REVENUE DATA'!$D$6</f>
        <v>350</v>
      </c>
      <c r="AF209" s="90" t="e">
        <f t="shared" ref="AF209:AF230" si="155">+AE209-AD209</f>
        <v>#DIV/0!</v>
      </c>
      <c r="AG209" s="91" t="e">
        <f t="shared" ref="AG209:AG230" si="156">+AF209/AD209</f>
        <v>#DIV/0!</v>
      </c>
      <c r="AH209" s="92">
        <f t="shared" ref="AH209:AH230" si="157">+AE209*R209</f>
        <v>0</v>
      </c>
    </row>
    <row r="210" spans="1:34" x14ac:dyDescent="0.3">
      <c r="A210" s="223"/>
      <c r="B210" s="4"/>
      <c r="C210" s="4" t="str">
        <f t="shared" si="146"/>
        <v>Vaso bitorzolo twist</v>
      </c>
      <c r="D210" s="5">
        <f t="shared" si="146"/>
        <v>4</v>
      </c>
      <c r="E210" s="5">
        <f t="shared" si="146"/>
        <v>2</v>
      </c>
      <c r="F210" s="5">
        <f t="shared" si="146"/>
        <v>5.15</v>
      </c>
      <c r="G210" s="5">
        <f t="shared" si="146"/>
        <v>315</v>
      </c>
      <c r="H210" s="4">
        <f t="shared" si="146"/>
        <v>8.005105E-4</v>
      </c>
      <c r="I210" s="6">
        <f t="shared" si="146"/>
        <v>2.2236402777777777</v>
      </c>
      <c r="J210" s="6">
        <f t="shared" si="146"/>
        <v>2.0012762500000001</v>
      </c>
      <c r="R210" s="23">
        <v>0</v>
      </c>
      <c r="S210" s="6">
        <f t="shared" si="144"/>
        <v>0</v>
      </c>
      <c r="T210" s="6">
        <f t="shared" si="147"/>
        <v>0</v>
      </c>
      <c r="U210" s="4">
        <f t="shared" si="148"/>
        <v>0</v>
      </c>
      <c r="V210" s="115">
        <f>+S210*$M$3/'COST DATA'!$D$26</f>
        <v>0</v>
      </c>
      <c r="W210" s="16">
        <f t="shared" si="149"/>
        <v>0</v>
      </c>
      <c r="X210" s="27">
        <f t="shared" si="150"/>
        <v>0</v>
      </c>
      <c r="Y210" s="27">
        <f t="shared" si="151"/>
        <v>0</v>
      </c>
      <c r="Z210" s="4">
        <f t="shared" si="152"/>
        <v>0</v>
      </c>
      <c r="AA210" s="82">
        <f>+'Finished goods'!$O$3*'PRIVATE CUSTOMER (BtoC)'!T210</f>
        <v>0</v>
      </c>
      <c r="AB210" s="82">
        <f>+'Finished goods'!$P$7*R210</f>
        <v>0</v>
      </c>
      <c r="AC210" s="83">
        <f t="shared" si="153"/>
        <v>0</v>
      </c>
      <c r="AD210" s="93" t="e">
        <f t="shared" si="154"/>
        <v>#DIV/0!</v>
      </c>
      <c r="AE210" s="93">
        <f>+'REVENUE DATA'!$D$7</f>
        <v>350</v>
      </c>
      <c r="AF210" s="90" t="e">
        <f t="shared" si="155"/>
        <v>#DIV/0!</v>
      </c>
      <c r="AG210" s="91" t="e">
        <f t="shared" si="156"/>
        <v>#DIV/0!</v>
      </c>
      <c r="AH210" s="92">
        <f t="shared" si="157"/>
        <v>0</v>
      </c>
    </row>
    <row r="211" spans="1:34" x14ac:dyDescent="0.3">
      <c r="A211" s="223"/>
      <c r="B211" s="4"/>
      <c r="C211" s="4" t="str">
        <f t="shared" si="146"/>
        <v>Vaso bitorzolo dritto</v>
      </c>
      <c r="D211" s="5">
        <f t="shared" si="146"/>
        <v>4</v>
      </c>
      <c r="E211" s="5">
        <f t="shared" si="146"/>
        <v>2</v>
      </c>
      <c r="F211" s="5">
        <f t="shared" si="146"/>
        <v>4.4800000000000004</v>
      </c>
      <c r="G211" s="5">
        <f t="shared" si="146"/>
        <v>288</v>
      </c>
      <c r="H211" s="4">
        <f t="shared" si="146"/>
        <v>8.2321687099999998E-4</v>
      </c>
      <c r="I211" s="6">
        <f t="shared" si="146"/>
        <v>2.2867135305555553</v>
      </c>
      <c r="J211" s="6">
        <f t="shared" si="146"/>
        <v>2.0580421775</v>
      </c>
      <c r="R211" s="23">
        <v>0</v>
      </c>
      <c r="S211" s="6">
        <f t="shared" si="144"/>
        <v>0</v>
      </c>
      <c r="T211" s="6">
        <f t="shared" si="147"/>
        <v>0</v>
      </c>
      <c r="U211" s="4">
        <f t="shared" si="148"/>
        <v>0</v>
      </c>
      <c r="V211" s="115">
        <f>+S211*$M$3/'COST DATA'!$D$26</f>
        <v>0</v>
      </c>
      <c r="W211" s="16">
        <f t="shared" si="149"/>
        <v>0</v>
      </c>
      <c r="X211" s="27">
        <f t="shared" si="150"/>
        <v>0</v>
      </c>
      <c r="Y211" s="27">
        <f t="shared" si="151"/>
        <v>0</v>
      </c>
      <c r="Z211" s="4">
        <f t="shared" si="152"/>
        <v>0</v>
      </c>
      <c r="AA211" s="82">
        <f>+'Finished goods'!$O$3*'PRIVATE CUSTOMER (BtoC)'!T211</f>
        <v>0</v>
      </c>
      <c r="AB211" s="82">
        <f>+'Finished goods'!$P$8*R211</f>
        <v>0</v>
      </c>
      <c r="AC211" s="83">
        <f t="shared" si="153"/>
        <v>0</v>
      </c>
      <c r="AD211" s="93" t="e">
        <f t="shared" si="154"/>
        <v>#DIV/0!</v>
      </c>
      <c r="AE211" s="93">
        <f>+'REVENUE DATA'!$D$8</f>
        <v>350</v>
      </c>
      <c r="AF211" s="90" t="e">
        <f t="shared" si="155"/>
        <v>#DIV/0!</v>
      </c>
      <c r="AG211" s="91" t="e">
        <f t="shared" si="156"/>
        <v>#DIV/0!</v>
      </c>
      <c r="AH211" s="92">
        <f t="shared" si="157"/>
        <v>0</v>
      </c>
    </row>
    <row r="212" spans="1:34" x14ac:dyDescent="0.3">
      <c r="A212" s="223"/>
      <c r="B212" s="4"/>
      <c r="C212" s="4" t="str">
        <f t="shared" si="146"/>
        <v>Porta riviste</v>
      </c>
      <c r="D212" s="5">
        <f t="shared" si="146"/>
        <v>10</v>
      </c>
      <c r="E212" s="5">
        <f t="shared" si="146"/>
        <v>10</v>
      </c>
      <c r="F212" s="5">
        <f t="shared" si="146"/>
        <v>0.42</v>
      </c>
      <c r="G212" s="5">
        <f t="shared" si="146"/>
        <v>42</v>
      </c>
      <c r="H212" s="4">
        <f t="shared" si="146"/>
        <v>3.5606798E-3</v>
      </c>
      <c r="I212" s="6">
        <f t="shared" si="146"/>
        <v>9.890777222222221</v>
      </c>
      <c r="J212" s="6">
        <f t="shared" si="146"/>
        <v>8.9016994999999994</v>
      </c>
      <c r="R212" s="23">
        <v>0</v>
      </c>
      <c r="S212" s="6">
        <f t="shared" si="144"/>
        <v>0</v>
      </c>
      <c r="T212" s="6">
        <f t="shared" si="147"/>
        <v>0</v>
      </c>
      <c r="U212" s="4">
        <f t="shared" si="148"/>
        <v>0</v>
      </c>
      <c r="V212" s="115">
        <f>+S212*$M$3/'COST DATA'!$D$26</f>
        <v>0</v>
      </c>
      <c r="W212" s="16">
        <f t="shared" si="149"/>
        <v>0</v>
      </c>
      <c r="X212" s="27">
        <f t="shared" si="150"/>
        <v>0</v>
      </c>
      <c r="Y212" s="27">
        <f t="shared" si="151"/>
        <v>0</v>
      </c>
      <c r="Z212" s="4">
        <f t="shared" si="152"/>
        <v>0</v>
      </c>
      <c r="AA212" s="82">
        <f>+'Finished goods'!$O$3*'PRIVATE CUSTOMER (BtoC)'!T212</f>
        <v>0</v>
      </c>
      <c r="AB212" s="82">
        <f>+'Finished goods'!$P$9*R212</f>
        <v>0</v>
      </c>
      <c r="AC212" s="83">
        <f t="shared" si="153"/>
        <v>0</v>
      </c>
      <c r="AD212" s="93" t="e">
        <f t="shared" si="154"/>
        <v>#DIV/0!</v>
      </c>
      <c r="AE212" s="93">
        <f>+'REVENUE DATA'!$D$9</f>
        <v>180</v>
      </c>
      <c r="AF212" s="90" t="e">
        <f t="shared" si="155"/>
        <v>#DIV/0!</v>
      </c>
      <c r="AG212" s="91" t="e">
        <f t="shared" si="156"/>
        <v>#DIV/0!</v>
      </c>
      <c r="AH212" s="92">
        <f t="shared" si="157"/>
        <v>0</v>
      </c>
    </row>
    <row r="213" spans="1:34" x14ac:dyDescent="0.3">
      <c r="A213" s="223"/>
      <c r="B213" s="4"/>
      <c r="C213" s="4" t="str">
        <f t="shared" si="146"/>
        <v>Lampada 90 grossa</v>
      </c>
      <c r="D213" s="5">
        <f t="shared" si="146"/>
        <v>8</v>
      </c>
      <c r="E213" s="5">
        <f t="shared" si="146"/>
        <v>10</v>
      </c>
      <c r="F213" s="5">
        <f t="shared" si="146"/>
        <v>1.39</v>
      </c>
      <c r="G213" s="5">
        <f t="shared" si="146"/>
        <v>99</v>
      </c>
      <c r="H213" s="4">
        <f t="shared" si="146"/>
        <v>1.7366300000000001E-3</v>
      </c>
      <c r="I213" s="6">
        <f t="shared" si="146"/>
        <v>4.8239722222222232</v>
      </c>
      <c r="J213" s="6">
        <f t="shared" si="146"/>
        <v>4.3415750000000006</v>
      </c>
      <c r="R213" s="23">
        <v>0</v>
      </c>
      <c r="S213" s="6">
        <f t="shared" si="144"/>
        <v>0</v>
      </c>
      <c r="T213" s="6">
        <f t="shared" si="147"/>
        <v>0</v>
      </c>
      <c r="U213" s="4">
        <f t="shared" si="148"/>
        <v>0</v>
      </c>
      <c r="V213" s="115">
        <f>+S213*$M$3/'COST DATA'!$D$26</f>
        <v>0</v>
      </c>
      <c r="W213" s="16">
        <f t="shared" si="149"/>
        <v>0</v>
      </c>
      <c r="X213" s="27">
        <f t="shared" si="150"/>
        <v>0</v>
      </c>
      <c r="Y213" s="27">
        <f t="shared" si="151"/>
        <v>0</v>
      </c>
      <c r="Z213" s="4">
        <f t="shared" si="152"/>
        <v>0</v>
      </c>
      <c r="AA213" s="82">
        <f>+'Finished goods'!$O$3*'PRIVATE CUSTOMER (BtoC)'!T213</f>
        <v>0</v>
      </c>
      <c r="AB213" s="82">
        <f>+'Finished goods'!$P$10*R213</f>
        <v>0</v>
      </c>
      <c r="AC213" s="83">
        <f t="shared" si="153"/>
        <v>0</v>
      </c>
      <c r="AD213" s="93" t="e">
        <f t="shared" si="154"/>
        <v>#DIV/0!</v>
      </c>
      <c r="AE213" s="93">
        <f>+'REVENUE DATA'!$D$10</f>
        <v>450</v>
      </c>
      <c r="AF213" s="90" t="e">
        <f t="shared" si="155"/>
        <v>#DIV/0!</v>
      </c>
      <c r="AG213" s="91" t="e">
        <f t="shared" si="156"/>
        <v>#DIV/0!</v>
      </c>
      <c r="AH213" s="92">
        <f t="shared" si="157"/>
        <v>0</v>
      </c>
    </row>
    <row r="214" spans="1:34" x14ac:dyDescent="0.3">
      <c r="A214" s="223"/>
      <c r="B214" s="4"/>
      <c r="C214" s="4" t="str">
        <f t="shared" si="146"/>
        <v>Lampada 90 piccola</v>
      </c>
      <c r="D214" s="5">
        <f t="shared" si="146"/>
        <v>5</v>
      </c>
      <c r="E214" s="5">
        <f t="shared" si="146"/>
        <v>10</v>
      </c>
      <c r="F214" s="5">
        <f t="shared" si="146"/>
        <v>1.1499999999999999</v>
      </c>
      <c r="G214" s="5">
        <f t="shared" si="146"/>
        <v>75</v>
      </c>
      <c r="H214" s="4">
        <f t="shared" si="146"/>
        <v>8.1557296000000004E-4</v>
      </c>
      <c r="I214" s="6">
        <f t="shared" si="146"/>
        <v>2.2654804444444445</v>
      </c>
      <c r="J214" s="6">
        <f t="shared" si="146"/>
        <v>2.0389324000000002</v>
      </c>
      <c r="R214" s="23">
        <v>0</v>
      </c>
      <c r="S214" s="6">
        <f t="shared" si="144"/>
        <v>0</v>
      </c>
      <c r="T214" s="6">
        <f t="shared" si="147"/>
        <v>0</v>
      </c>
      <c r="U214" s="4">
        <f t="shared" si="148"/>
        <v>0</v>
      </c>
      <c r="V214" s="115">
        <f>+S214*$M$3/'COST DATA'!$D$26</f>
        <v>0</v>
      </c>
      <c r="W214" s="16">
        <f t="shared" si="149"/>
        <v>0</v>
      </c>
      <c r="X214" s="27">
        <f t="shared" si="150"/>
        <v>0</v>
      </c>
      <c r="Y214" s="27">
        <f t="shared" si="151"/>
        <v>0</v>
      </c>
      <c r="Z214" s="4">
        <f t="shared" si="152"/>
        <v>0</v>
      </c>
      <c r="AA214" s="82">
        <f>+'Finished goods'!$O$3*'PRIVATE CUSTOMER (BtoC)'!T214</f>
        <v>0</v>
      </c>
      <c r="AB214" s="82">
        <f>+'Finished goods'!$P$11*R214</f>
        <v>0</v>
      </c>
      <c r="AC214" s="83">
        <f t="shared" si="153"/>
        <v>0</v>
      </c>
      <c r="AD214" s="93" t="e">
        <f t="shared" si="154"/>
        <v>#DIV/0!</v>
      </c>
      <c r="AE214" s="93">
        <f>+'REVENUE DATA'!$D$11</f>
        <v>200</v>
      </c>
      <c r="AF214" s="90" t="e">
        <f t="shared" si="155"/>
        <v>#DIV/0!</v>
      </c>
      <c r="AG214" s="91" t="e">
        <f t="shared" si="156"/>
        <v>#DIV/0!</v>
      </c>
      <c r="AH214" s="92">
        <f t="shared" si="157"/>
        <v>0</v>
      </c>
    </row>
    <row r="215" spans="1:34" x14ac:dyDescent="0.3">
      <c r="A215" s="223"/>
      <c r="B215" s="4"/>
      <c r="C215" s="4" t="str">
        <f t="shared" si="146"/>
        <v>Vaso Logo</v>
      </c>
      <c r="D215" s="5">
        <f t="shared" si="146"/>
        <v>5</v>
      </c>
      <c r="E215" s="5">
        <f t="shared" si="146"/>
        <v>10</v>
      </c>
      <c r="F215" s="5">
        <f t="shared" si="146"/>
        <v>0.39</v>
      </c>
      <c r="G215" s="5">
        <f t="shared" si="146"/>
        <v>39</v>
      </c>
      <c r="H215" s="4">
        <f t="shared" si="146"/>
        <v>1.1639584900000001E-3</v>
      </c>
      <c r="I215" s="6">
        <f t="shared" si="146"/>
        <v>3.2332180277777778</v>
      </c>
      <c r="J215" s="6">
        <f t="shared" si="146"/>
        <v>2.9098962250000002</v>
      </c>
      <c r="R215" s="23">
        <v>0</v>
      </c>
      <c r="S215" s="6">
        <f t="shared" si="144"/>
        <v>0</v>
      </c>
      <c r="T215" s="6">
        <f t="shared" si="147"/>
        <v>0</v>
      </c>
      <c r="U215" s="4">
        <f t="shared" si="148"/>
        <v>0</v>
      </c>
      <c r="V215" s="115">
        <f>+S215*$M$3/'COST DATA'!$D$26</f>
        <v>0</v>
      </c>
      <c r="W215" s="16">
        <f t="shared" si="149"/>
        <v>0</v>
      </c>
      <c r="X215" s="27">
        <f t="shared" si="150"/>
        <v>0</v>
      </c>
      <c r="Y215" s="27">
        <f t="shared" si="151"/>
        <v>0</v>
      </c>
      <c r="Z215" s="4">
        <f t="shared" si="152"/>
        <v>0</v>
      </c>
      <c r="AA215" s="82">
        <f>+'Finished goods'!$O$3*'PRIVATE CUSTOMER (BtoC)'!T215</f>
        <v>0</v>
      </c>
      <c r="AB215" s="82">
        <f>+'Finished goods'!$P$12*R215</f>
        <v>0</v>
      </c>
      <c r="AC215" s="83">
        <f t="shared" si="153"/>
        <v>0</v>
      </c>
      <c r="AD215" s="93" t="e">
        <f t="shared" si="154"/>
        <v>#DIV/0!</v>
      </c>
      <c r="AE215" s="93">
        <f>+'REVENUE DATA'!$D$12</f>
        <v>350</v>
      </c>
      <c r="AF215" s="90" t="e">
        <f t="shared" si="155"/>
        <v>#DIV/0!</v>
      </c>
      <c r="AG215" s="91" t="e">
        <f t="shared" si="156"/>
        <v>#DIV/0!</v>
      </c>
      <c r="AH215" s="92">
        <f t="shared" si="157"/>
        <v>0</v>
      </c>
    </row>
    <row r="216" spans="1:34" x14ac:dyDescent="0.3">
      <c r="A216" s="223"/>
      <c r="B216" s="4"/>
      <c r="C216" s="4" t="str">
        <f t="shared" si="146"/>
        <v>Copri candela</v>
      </c>
      <c r="D216" s="5">
        <f t="shared" si="146"/>
        <v>4</v>
      </c>
      <c r="E216" s="5">
        <f t="shared" si="146"/>
        <v>5</v>
      </c>
      <c r="F216" s="5">
        <f t="shared" si="146"/>
        <v>0.34</v>
      </c>
      <c r="G216" s="5">
        <f t="shared" si="146"/>
        <v>34</v>
      </c>
      <c r="H216" s="4">
        <f t="shared" si="146"/>
        <v>2.3780405299999999E-4</v>
      </c>
      <c r="I216" s="6">
        <f t="shared" si="146"/>
        <v>0.66056681388888883</v>
      </c>
      <c r="J216" s="6">
        <f t="shared" si="146"/>
        <v>0.59451013249999995</v>
      </c>
      <c r="R216" s="23">
        <v>0</v>
      </c>
      <c r="S216" s="6">
        <f t="shared" si="144"/>
        <v>0</v>
      </c>
      <c r="T216" s="6">
        <f t="shared" si="147"/>
        <v>0</v>
      </c>
      <c r="U216" s="4">
        <f t="shared" si="148"/>
        <v>0</v>
      </c>
      <c r="V216" s="115">
        <f>+S216*$M$3/'COST DATA'!$D$26</f>
        <v>0</v>
      </c>
      <c r="W216" s="16">
        <f t="shared" si="149"/>
        <v>0</v>
      </c>
      <c r="X216" s="27">
        <f t="shared" si="150"/>
        <v>0</v>
      </c>
      <c r="Y216" s="27">
        <f t="shared" si="151"/>
        <v>0</v>
      </c>
      <c r="Z216" s="4">
        <f t="shared" si="152"/>
        <v>0</v>
      </c>
      <c r="AA216" s="82">
        <f>+'Finished goods'!$O$3*'PRIVATE CUSTOMER (BtoC)'!T216</f>
        <v>0</v>
      </c>
      <c r="AB216" s="82">
        <f>+'Finished goods'!$P$13*R216</f>
        <v>0</v>
      </c>
      <c r="AC216" s="83">
        <f t="shared" si="153"/>
        <v>0</v>
      </c>
      <c r="AD216" s="93" t="e">
        <f t="shared" si="154"/>
        <v>#DIV/0!</v>
      </c>
      <c r="AE216" s="93">
        <f>+'REVENUE DATA'!$D$13</f>
        <v>75</v>
      </c>
      <c r="AF216" s="90" t="e">
        <f t="shared" si="155"/>
        <v>#DIV/0!</v>
      </c>
      <c r="AG216" s="91" t="e">
        <f t="shared" si="156"/>
        <v>#DIV/0!</v>
      </c>
      <c r="AH216" s="92">
        <f t="shared" si="157"/>
        <v>0</v>
      </c>
    </row>
    <row r="217" spans="1:34" x14ac:dyDescent="0.3">
      <c r="A217" s="223"/>
      <c r="B217" s="4"/>
      <c r="C217" s="4" t="str">
        <f t="shared" si="146"/>
        <v xml:space="preserve">Vaso Grosso </v>
      </c>
      <c r="D217" s="5">
        <f t="shared" si="146"/>
        <v>4</v>
      </c>
      <c r="E217" s="5">
        <f t="shared" si="146"/>
        <v>5</v>
      </c>
      <c r="F217" s="5">
        <f t="shared" si="146"/>
        <v>1.31</v>
      </c>
      <c r="G217" s="5">
        <f t="shared" si="146"/>
        <v>91</v>
      </c>
      <c r="H217" s="4">
        <f t="shared" si="146"/>
        <v>9.52764444E-4</v>
      </c>
      <c r="I217" s="6">
        <f t="shared" si="146"/>
        <v>2.6465679</v>
      </c>
      <c r="J217" s="6">
        <f t="shared" si="146"/>
        <v>2.3819111099999999</v>
      </c>
      <c r="R217" s="23">
        <v>0</v>
      </c>
      <c r="S217" s="6">
        <f t="shared" si="144"/>
        <v>0</v>
      </c>
      <c r="T217" s="6">
        <f t="shared" si="147"/>
        <v>0</v>
      </c>
      <c r="U217" s="4">
        <f t="shared" si="148"/>
        <v>0</v>
      </c>
      <c r="V217" s="115">
        <f>+S217*$M$3/'COST DATA'!$D$26</f>
        <v>0</v>
      </c>
      <c r="W217" s="16">
        <f t="shared" si="149"/>
        <v>0</v>
      </c>
      <c r="X217" s="27">
        <f t="shared" si="150"/>
        <v>0</v>
      </c>
      <c r="Y217" s="27">
        <f t="shared" si="151"/>
        <v>0</v>
      </c>
      <c r="Z217" s="4">
        <f t="shared" si="152"/>
        <v>0</v>
      </c>
      <c r="AA217" s="82">
        <f>+'Finished goods'!$O$3*'PRIVATE CUSTOMER (BtoC)'!T217</f>
        <v>0</v>
      </c>
      <c r="AB217" s="82">
        <f>+'Finished goods'!$P$14*R217</f>
        <v>0</v>
      </c>
      <c r="AC217" s="83">
        <f t="shared" si="153"/>
        <v>0</v>
      </c>
      <c r="AD217" s="93" t="e">
        <f t="shared" si="154"/>
        <v>#DIV/0!</v>
      </c>
      <c r="AE217" s="93">
        <f>+'REVENUE DATA'!$D$14</f>
        <v>250</v>
      </c>
      <c r="AF217" s="90" t="e">
        <f t="shared" si="155"/>
        <v>#DIV/0!</v>
      </c>
      <c r="AG217" s="91" t="e">
        <f t="shared" si="156"/>
        <v>#DIV/0!</v>
      </c>
      <c r="AH217" s="92">
        <f t="shared" si="157"/>
        <v>0</v>
      </c>
    </row>
    <row r="218" spans="1:34" x14ac:dyDescent="0.3">
      <c r="A218" s="223"/>
      <c r="B218" s="4"/>
      <c r="C218" s="4" t="str">
        <f t="shared" si="146"/>
        <v>Bicchiere curve dritto</v>
      </c>
      <c r="D218" s="5">
        <f t="shared" si="146"/>
        <v>2</v>
      </c>
      <c r="E218" s="5">
        <f t="shared" si="146"/>
        <v>2</v>
      </c>
      <c r="F218" s="5">
        <f t="shared" si="146"/>
        <v>0.26</v>
      </c>
      <c r="G218" s="5">
        <f t="shared" si="146"/>
        <v>26</v>
      </c>
      <c r="H218" s="4">
        <f t="shared" si="146"/>
        <v>1.6928511099999999E-4</v>
      </c>
      <c r="I218" s="6">
        <f t="shared" si="146"/>
        <v>0.47023641944444439</v>
      </c>
      <c r="J218" s="6">
        <f t="shared" si="146"/>
        <v>0.42321277749999997</v>
      </c>
      <c r="R218" s="23">
        <v>0</v>
      </c>
      <c r="S218" s="6">
        <f t="shared" si="144"/>
        <v>0</v>
      </c>
      <c r="T218" s="6">
        <f t="shared" si="147"/>
        <v>0</v>
      </c>
      <c r="U218" s="4">
        <f t="shared" si="148"/>
        <v>0</v>
      </c>
      <c r="V218" s="115">
        <f>+S218*$M$3/'COST DATA'!$D$26</f>
        <v>0</v>
      </c>
      <c r="W218" s="16">
        <f t="shared" si="149"/>
        <v>0</v>
      </c>
      <c r="X218" s="27">
        <f t="shared" si="150"/>
        <v>0</v>
      </c>
      <c r="Y218" s="27">
        <f t="shared" si="151"/>
        <v>0</v>
      </c>
      <c r="Z218" s="4">
        <f t="shared" si="152"/>
        <v>0</v>
      </c>
      <c r="AA218" s="82">
        <f>+'Finished goods'!$O$3*'PRIVATE CUSTOMER (BtoC)'!T218</f>
        <v>0</v>
      </c>
      <c r="AB218" s="82">
        <f>+'Finished goods'!$P$15*R218</f>
        <v>0</v>
      </c>
      <c r="AC218" s="83">
        <f t="shared" si="153"/>
        <v>0</v>
      </c>
      <c r="AD218" s="93" t="e">
        <f t="shared" si="154"/>
        <v>#DIV/0!</v>
      </c>
      <c r="AE218" s="93">
        <f>+'REVENUE DATA'!$D$15</f>
        <v>0</v>
      </c>
      <c r="AF218" s="90" t="e">
        <f t="shared" si="155"/>
        <v>#DIV/0!</v>
      </c>
      <c r="AG218" s="91" t="e">
        <f t="shared" si="156"/>
        <v>#DIV/0!</v>
      </c>
      <c r="AH218" s="92">
        <f t="shared" si="157"/>
        <v>0</v>
      </c>
    </row>
    <row r="219" spans="1:34" x14ac:dyDescent="0.3">
      <c r="A219" s="223"/>
      <c r="B219" s="4"/>
      <c r="C219" s="4" t="str">
        <f t="shared" si="146"/>
        <v>Bicchiere curve twist</v>
      </c>
      <c r="D219" s="5">
        <f t="shared" si="146"/>
        <v>2</v>
      </c>
      <c r="E219" s="5">
        <f t="shared" si="146"/>
        <v>2</v>
      </c>
      <c r="F219" s="5">
        <f t="shared" si="146"/>
        <v>0.25</v>
      </c>
      <c r="G219" s="5">
        <f t="shared" si="146"/>
        <v>25</v>
      </c>
      <c r="H219" s="4">
        <f t="shared" si="146"/>
        <v>1.69285896E-4</v>
      </c>
      <c r="I219" s="6">
        <f t="shared" si="146"/>
        <v>0.47023859999999995</v>
      </c>
      <c r="J219" s="6">
        <f t="shared" si="146"/>
        <v>0.42321473999999998</v>
      </c>
      <c r="R219" s="23">
        <v>0</v>
      </c>
      <c r="S219" s="6">
        <f t="shared" si="144"/>
        <v>0</v>
      </c>
      <c r="T219" s="6">
        <f t="shared" si="147"/>
        <v>0</v>
      </c>
      <c r="U219" s="4">
        <f t="shared" si="148"/>
        <v>0</v>
      </c>
      <c r="V219" s="115">
        <f>+S219*$M$3/'COST DATA'!$D$26</f>
        <v>0</v>
      </c>
      <c r="W219" s="16">
        <f t="shared" si="149"/>
        <v>0</v>
      </c>
      <c r="X219" s="27">
        <f t="shared" si="150"/>
        <v>0</v>
      </c>
      <c r="Y219" s="27">
        <f t="shared" si="151"/>
        <v>0</v>
      </c>
      <c r="Z219" s="4">
        <f t="shared" si="152"/>
        <v>0</v>
      </c>
      <c r="AA219" s="82">
        <f>+'Finished goods'!$O$3*'PRIVATE CUSTOMER (BtoC)'!T219</f>
        <v>0</v>
      </c>
      <c r="AB219" s="82">
        <f>+'Finished goods'!$P$16*R219</f>
        <v>0</v>
      </c>
      <c r="AC219" s="83">
        <f t="shared" si="153"/>
        <v>0</v>
      </c>
      <c r="AD219" s="93" t="e">
        <f t="shared" si="154"/>
        <v>#DIV/0!</v>
      </c>
      <c r="AE219" s="93">
        <f>+'REVENUE DATA'!$D$16</f>
        <v>0</v>
      </c>
      <c r="AF219" s="90" t="e">
        <f t="shared" si="155"/>
        <v>#DIV/0!</v>
      </c>
      <c r="AG219" s="91" t="e">
        <f t="shared" si="156"/>
        <v>#DIV/0!</v>
      </c>
      <c r="AH219" s="92">
        <f t="shared" si="157"/>
        <v>0</v>
      </c>
    </row>
    <row r="220" spans="1:34" x14ac:dyDescent="0.3">
      <c r="A220" s="223"/>
      <c r="B220" s="4"/>
      <c r="C220" s="4" t="str">
        <f t="shared" si="146"/>
        <v>Caraffa curva</v>
      </c>
      <c r="D220" s="5">
        <f t="shared" si="146"/>
        <v>2</v>
      </c>
      <c r="E220" s="5">
        <f t="shared" si="146"/>
        <v>2</v>
      </c>
      <c r="F220" s="5">
        <f t="shared" si="146"/>
        <v>0.56999999999999995</v>
      </c>
      <c r="G220" s="5">
        <f t="shared" si="146"/>
        <v>57</v>
      </c>
      <c r="H220" s="4">
        <f t="shared" si="146"/>
        <v>3.69342133E-4</v>
      </c>
      <c r="I220" s="6">
        <f t="shared" si="146"/>
        <v>1.0259503694444445</v>
      </c>
      <c r="J220" s="6">
        <f t="shared" si="146"/>
        <v>0.92335533250000001</v>
      </c>
      <c r="R220" s="23">
        <v>0</v>
      </c>
      <c r="S220" s="6">
        <f t="shared" si="144"/>
        <v>0</v>
      </c>
      <c r="T220" s="6">
        <f t="shared" si="147"/>
        <v>0</v>
      </c>
      <c r="U220" s="4">
        <f t="shared" si="148"/>
        <v>0</v>
      </c>
      <c r="V220" s="115">
        <f>+S220*$M$3/'COST DATA'!$D$26</f>
        <v>0</v>
      </c>
      <c r="W220" s="16">
        <f>+U220*$N$3</f>
        <v>0</v>
      </c>
      <c r="X220" s="27">
        <f t="shared" si="150"/>
        <v>0</v>
      </c>
      <c r="Y220" s="27">
        <f t="shared" si="151"/>
        <v>0</v>
      </c>
      <c r="Z220" s="4">
        <f t="shared" si="152"/>
        <v>0</v>
      </c>
      <c r="AA220" s="82">
        <f>+'Finished goods'!$O$3*'PRIVATE CUSTOMER (BtoC)'!T220</f>
        <v>0</v>
      </c>
      <c r="AB220" s="82">
        <f>+'Finished goods'!$P$17*R220</f>
        <v>0</v>
      </c>
      <c r="AC220" s="83">
        <f t="shared" si="153"/>
        <v>0</v>
      </c>
      <c r="AD220" s="93" t="e">
        <f t="shared" si="154"/>
        <v>#DIV/0!</v>
      </c>
      <c r="AE220" s="93">
        <f>+'REVENUE DATA'!$D$17</f>
        <v>30</v>
      </c>
      <c r="AF220" s="90" t="e">
        <f t="shared" si="155"/>
        <v>#DIV/0!</v>
      </c>
      <c r="AG220" s="91" t="e">
        <f t="shared" si="156"/>
        <v>#DIV/0!</v>
      </c>
      <c r="AH220" s="92">
        <f t="shared" si="157"/>
        <v>0</v>
      </c>
    </row>
    <row r="221" spans="1:34" x14ac:dyDescent="0.3">
      <c r="A221" s="223"/>
      <c r="B221" s="4"/>
      <c r="C221" s="4" t="str">
        <f t="shared" si="146"/>
        <v>Caraffa colonna dritta</v>
      </c>
      <c r="D221" s="5">
        <f t="shared" si="146"/>
        <v>2</v>
      </c>
      <c r="E221" s="5">
        <f t="shared" si="146"/>
        <v>1</v>
      </c>
      <c r="F221" s="5">
        <f t="shared" si="146"/>
        <v>1.4</v>
      </c>
      <c r="G221" s="5">
        <f t="shared" si="146"/>
        <v>100</v>
      </c>
      <c r="H221" s="4">
        <f t="shared" si="146"/>
        <v>3.2796365999999998E-4</v>
      </c>
      <c r="I221" s="6">
        <f t="shared" si="146"/>
        <v>0.91101016666666657</v>
      </c>
      <c r="J221" s="6">
        <f t="shared" si="146"/>
        <v>0.81990914999999998</v>
      </c>
      <c r="R221" s="23">
        <v>0</v>
      </c>
      <c r="S221" s="6">
        <f t="shared" si="144"/>
        <v>0</v>
      </c>
      <c r="T221" s="6">
        <f t="shared" si="147"/>
        <v>0</v>
      </c>
      <c r="U221" s="4">
        <f t="shared" si="148"/>
        <v>0</v>
      </c>
      <c r="V221" s="115">
        <f>+S221*$M$3/'COST DATA'!$D$26</f>
        <v>0</v>
      </c>
      <c r="W221" s="16">
        <f t="shared" ref="W221:W230" si="158">+U221*$N$3</f>
        <v>0</v>
      </c>
      <c r="X221" s="27">
        <f t="shared" si="150"/>
        <v>0</v>
      </c>
      <c r="Y221" s="27">
        <f t="shared" si="151"/>
        <v>0</v>
      </c>
      <c r="Z221" s="4">
        <f t="shared" si="152"/>
        <v>0</v>
      </c>
      <c r="AA221" s="82">
        <f>+'Finished goods'!$O$3*'PRIVATE CUSTOMER (BtoC)'!T221</f>
        <v>0</v>
      </c>
      <c r="AB221" s="82">
        <f>+'Finished goods'!$P$18*R221</f>
        <v>0</v>
      </c>
      <c r="AC221" s="83">
        <f t="shared" si="153"/>
        <v>0</v>
      </c>
      <c r="AD221" s="93" t="e">
        <f t="shared" si="154"/>
        <v>#DIV/0!</v>
      </c>
      <c r="AE221" s="93">
        <f>+'REVENUE DATA'!$D$18</f>
        <v>30</v>
      </c>
      <c r="AF221" s="90" t="e">
        <f t="shared" si="155"/>
        <v>#DIV/0!</v>
      </c>
      <c r="AG221" s="91" t="e">
        <f t="shared" si="156"/>
        <v>#DIV/0!</v>
      </c>
      <c r="AH221" s="92">
        <f t="shared" si="157"/>
        <v>0</v>
      </c>
    </row>
    <row r="222" spans="1:34" x14ac:dyDescent="0.3">
      <c r="A222" s="223"/>
      <c r="B222" s="4"/>
      <c r="C222" s="4" t="str">
        <f t="shared" si="146"/>
        <v>Caraffa colonna twist1</v>
      </c>
      <c r="D222" s="5">
        <f t="shared" si="146"/>
        <v>2</v>
      </c>
      <c r="E222" s="5">
        <f t="shared" si="146"/>
        <v>1</v>
      </c>
      <c r="F222" s="5">
        <f t="shared" si="146"/>
        <v>1.41</v>
      </c>
      <c r="G222" s="5">
        <f t="shared" si="146"/>
        <v>101</v>
      </c>
      <c r="H222" s="4">
        <f t="shared" si="146"/>
        <v>3.323221E-4</v>
      </c>
      <c r="I222" s="6">
        <f t="shared" si="146"/>
        <v>0.92311694444444448</v>
      </c>
      <c r="J222" s="6">
        <f t="shared" si="146"/>
        <v>0.83080525000000005</v>
      </c>
      <c r="R222" s="23">
        <v>0</v>
      </c>
      <c r="S222" s="6">
        <f t="shared" si="144"/>
        <v>0</v>
      </c>
      <c r="T222" s="6">
        <f t="shared" si="147"/>
        <v>0</v>
      </c>
      <c r="U222" s="4">
        <f t="shared" si="148"/>
        <v>0</v>
      </c>
      <c r="V222" s="115">
        <f>+S222*$M$3/'COST DATA'!$D$26</f>
        <v>0</v>
      </c>
      <c r="W222" s="16">
        <f t="shared" si="158"/>
        <v>0</v>
      </c>
      <c r="X222" s="27">
        <f t="shared" si="150"/>
        <v>0</v>
      </c>
      <c r="Y222" s="27">
        <f t="shared" si="151"/>
        <v>0</v>
      </c>
      <c r="Z222" s="4">
        <f t="shared" si="152"/>
        <v>0</v>
      </c>
      <c r="AA222" s="82">
        <f>+'Finished goods'!$O$3*'PRIVATE CUSTOMER (BtoC)'!T222</f>
        <v>0</v>
      </c>
      <c r="AB222" s="82">
        <f>+'Finished goods'!$P$19*R222</f>
        <v>0</v>
      </c>
      <c r="AC222" s="83">
        <f t="shared" si="153"/>
        <v>0</v>
      </c>
      <c r="AD222" s="93" t="e">
        <f t="shared" si="154"/>
        <v>#DIV/0!</v>
      </c>
      <c r="AE222" s="93">
        <f>+'REVENUE DATA'!$D$19</f>
        <v>30</v>
      </c>
      <c r="AF222" s="90" t="e">
        <f t="shared" si="155"/>
        <v>#DIV/0!</v>
      </c>
      <c r="AG222" s="91" t="e">
        <f t="shared" si="156"/>
        <v>#DIV/0!</v>
      </c>
      <c r="AH222" s="92">
        <f t="shared" si="157"/>
        <v>0</v>
      </c>
    </row>
    <row r="223" spans="1:34" x14ac:dyDescent="0.3">
      <c r="A223" s="223"/>
      <c r="B223" s="4"/>
      <c r="C223" s="4" t="str">
        <f t="shared" si="146"/>
        <v>Caraffa colonna twist2</v>
      </c>
      <c r="D223" s="5">
        <f t="shared" si="146"/>
        <v>2</v>
      </c>
      <c r="E223" s="5">
        <f t="shared" si="146"/>
        <v>1</v>
      </c>
      <c r="F223" s="5">
        <f t="shared" si="146"/>
        <v>1.45</v>
      </c>
      <c r="G223" s="5">
        <f t="shared" si="146"/>
        <v>105</v>
      </c>
      <c r="H223" s="4">
        <f t="shared" si="146"/>
        <v>3.4271101000000001E-4</v>
      </c>
      <c r="I223" s="6">
        <f t="shared" si="146"/>
        <v>0.95197502777777776</v>
      </c>
      <c r="J223" s="6">
        <f t="shared" si="146"/>
        <v>0.85677752500000004</v>
      </c>
      <c r="R223" s="23">
        <v>0</v>
      </c>
      <c r="S223" s="6">
        <f t="shared" si="144"/>
        <v>0</v>
      </c>
      <c r="T223" s="6">
        <f t="shared" si="147"/>
        <v>0</v>
      </c>
      <c r="U223" s="4">
        <f t="shared" si="148"/>
        <v>0</v>
      </c>
      <c r="V223" s="115">
        <f>+S223*$M$3/'COST DATA'!$D$26</f>
        <v>0</v>
      </c>
      <c r="W223" s="16">
        <f t="shared" si="158"/>
        <v>0</v>
      </c>
      <c r="X223" s="27">
        <f t="shared" si="150"/>
        <v>0</v>
      </c>
      <c r="Y223" s="27">
        <f t="shared" si="151"/>
        <v>0</v>
      </c>
      <c r="Z223" s="4">
        <f t="shared" si="152"/>
        <v>0</v>
      </c>
      <c r="AA223" s="82">
        <f>+'Finished goods'!$O$3*'PRIVATE CUSTOMER (BtoC)'!T223</f>
        <v>0</v>
      </c>
      <c r="AB223" s="82">
        <f>+'Finished goods'!$P$20*R223</f>
        <v>0</v>
      </c>
      <c r="AC223" s="83">
        <f t="shared" si="153"/>
        <v>0</v>
      </c>
      <c r="AD223" s="93" t="e">
        <f t="shared" si="154"/>
        <v>#DIV/0!</v>
      </c>
      <c r="AE223" s="93">
        <f>+'REVENUE DATA'!$D$20</f>
        <v>30</v>
      </c>
      <c r="AF223" s="90" t="e">
        <f t="shared" si="155"/>
        <v>#DIV/0!</v>
      </c>
      <c r="AG223" s="91" t="e">
        <f t="shared" si="156"/>
        <v>#DIV/0!</v>
      </c>
      <c r="AH223" s="92">
        <f t="shared" si="157"/>
        <v>0</v>
      </c>
    </row>
    <row r="224" spans="1:34" x14ac:dyDescent="0.3">
      <c r="A224" s="223"/>
      <c r="B224" s="4"/>
      <c r="C224" s="4" t="str">
        <f t="shared" si="146"/>
        <v>Caraffa colonna twist3</v>
      </c>
      <c r="D224" s="5">
        <f t="shared" si="146"/>
        <v>2</v>
      </c>
      <c r="E224" s="5">
        <f t="shared" si="146"/>
        <v>1</v>
      </c>
      <c r="F224" s="5">
        <f t="shared" si="146"/>
        <v>1.42</v>
      </c>
      <c r="G224" s="5">
        <f t="shared" si="146"/>
        <v>102</v>
      </c>
      <c r="H224" s="4">
        <f t="shared" si="146"/>
        <v>3.3727121999999998E-4</v>
      </c>
      <c r="I224" s="6">
        <f t="shared" si="146"/>
        <v>0.93686449999999988</v>
      </c>
      <c r="J224" s="6">
        <f t="shared" si="146"/>
        <v>0.8431780499999999</v>
      </c>
      <c r="R224" s="23">
        <v>0</v>
      </c>
      <c r="S224" s="6">
        <f t="shared" si="144"/>
        <v>0</v>
      </c>
      <c r="T224" s="6">
        <f t="shared" si="147"/>
        <v>0</v>
      </c>
      <c r="U224" s="4">
        <f t="shared" si="148"/>
        <v>0</v>
      </c>
      <c r="V224" s="115">
        <f>+S224*$M$3/'COST DATA'!$D$26</f>
        <v>0</v>
      </c>
      <c r="W224" s="16">
        <f t="shared" si="158"/>
        <v>0</v>
      </c>
      <c r="X224" s="27">
        <f t="shared" si="150"/>
        <v>0</v>
      </c>
      <c r="Y224" s="27">
        <f t="shared" si="151"/>
        <v>0</v>
      </c>
      <c r="Z224" s="4">
        <f t="shared" si="152"/>
        <v>0</v>
      </c>
      <c r="AA224" s="82">
        <f>+'Finished goods'!$O$3*'PRIVATE CUSTOMER (BtoC)'!T224</f>
        <v>0</v>
      </c>
      <c r="AB224" s="82">
        <f>+'Finished goods'!$P$21*R224</f>
        <v>0</v>
      </c>
      <c r="AC224" s="83">
        <f t="shared" si="153"/>
        <v>0</v>
      </c>
      <c r="AD224" s="93" t="e">
        <f t="shared" si="154"/>
        <v>#DIV/0!</v>
      </c>
      <c r="AE224" s="93">
        <f>+'REVENUE DATA'!$D$21</f>
        <v>30</v>
      </c>
      <c r="AF224" s="90" t="e">
        <f t="shared" si="155"/>
        <v>#DIV/0!</v>
      </c>
      <c r="AG224" s="91" t="e">
        <f t="shared" si="156"/>
        <v>#DIV/0!</v>
      </c>
      <c r="AH224" s="92">
        <f t="shared" si="157"/>
        <v>0</v>
      </c>
    </row>
    <row r="225" spans="1:34" x14ac:dyDescent="0.3">
      <c r="A225" s="223"/>
      <c r="B225" s="4"/>
      <c r="C225" s="4" t="str">
        <f t="shared" si="146"/>
        <v>Bicchiere colonna twist1</v>
      </c>
      <c r="D225" s="5">
        <f t="shared" si="146"/>
        <v>1</v>
      </c>
      <c r="E225" s="5">
        <f t="shared" si="146"/>
        <v>1</v>
      </c>
      <c r="F225" s="5">
        <f t="shared" si="146"/>
        <v>0.57999999999999996</v>
      </c>
      <c r="G225" s="5">
        <f t="shared" si="146"/>
        <v>58</v>
      </c>
      <c r="H225" s="4">
        <f t="shared" si="146"/>
        <v>9.7981700000000004E-5</v>
      </c>
      <c r="I225" s="6">
        <f t="shared" si="146"/>
        <v>0.27217138888888892</v>
      </c>
      <c r="J225" s="6">
        <f t="shared" si="146"/>
        <v>0.24495425000000001</v>
      </c>
      <c r="R225" s="23">
        <v>0</v>
      </c>
      <c r="S225" s="6">
        <f t="shared" si="144"/>
        <v>0</v>
      </c>
      <c r="T225" s="6">
        <f t="shared" si="147"/>
        <v>0</v>
      </c>
      <c r="U225" s="4">
        <f t="shared" si="148"/>
        <v>0</v>
      </c>
      <c r="V225" s="115">
        <f>+S225*$M$3/'COST DATA'!$D$26</f>
        <v>0</v>
      </c>
      <c r="W225" s="16">
        <f t="shared" si="158"/>
        <v>0</v>
      </c>
      <c r="X225" s="27">
        <f t="shared" si="150"/>
        <v>0</v>
      </c>
      <c r="Y225" s="27">
        <f t="shared" si="151"/>
        <v>0</v>
      </c>
      <c r="Z225" s="4">
        <f t="shared" si="152"/>
        <v>0</v>
      </c>
      <c r="AA225" s="82">
        <f>+'Finished goods'!$O$3*'PRIVATE CUSTOMER (BtoC)'!T225</f>
        <v>0</v>
      </c>
      <c r="AB225" s="82">
        <f>+'Finished goods'!$P$22*R225</f>
        <v>0</v>
      </c>
      <c r="AC225" s="83">
        <f t="shared" si="153"/>
        <v>0</v>
      </c>
      <c r="AD225" s="93" t="e">
        <f t="shared" si="154"/>
        <v>#DIV/0!</v>
      </c>
      <c r="AE225" s="93">
        <f>+'REVENUE DATA'!$D$22</f>
        <v>0</v>
      </c>
      <c r="AF225" s="90" t="e">
        <f t="shared" si="155"/>
        <v>#DIV/0!</v>
      </c>
      <c r="AG225" s="91" t="e">
        <f t="shared" si="156"/>
        <v>#DIV/0!</v>
      </c>
      <c r="AH225" s="92">
        <f t="shared" si="157"/>
        <v>0</v>
      </c>
    </row>
    <row r="226" spans="1:34" x14ac:dyDescent="0.3">
      <c r="A226" s="223"/>
      <c r="B226" s="4"/>
      <c r="C226" s="4" t="str">
        <f t="shared" si="146"/>
        <v>Bicchiere colonna twist2</v>
      </c>
      <c r="D226" s="5">
        <f t="shared" si="146"/>
        <v>1</v>
      </c>
      <c r="E226" s="5">
        <f t="shared" si="146"/>
        <v>1</v>
      </c>
      <c r="F226" s="5">
        <f t="shared" si="146"/>
        <v>0.59</v>
      </c>
      <c r="G226" s="5">
        <f t="shared" si="146"/>
        <v>59</v>
      </c>
      <c r="H226" s="4">
        <f t="shared" si="146"/>
        <v>9.7982366999999995E-5</v>
      </c>
      <c r="I226" s="6">
        <f t="shared" si="146"/>
        <v>0.27217324166666662</v>
      </c>
      <c r="J226" s="6">
        <f t="shared" si="146"/>
        <v>0.24495591749999998</v>
      </c>
      <c r="R226" s="23">
        <v>0</v>
      </c>
      <c r="S226" s="6">
        <f t="shared" si="144"/>
        <v>0</v>
      </c>
      <c r="T226" s="6">
        <f t="shared" si="147"/>
        <v>0</v>
      </c>
      <c r="U226" s="4">
        <f t="shared" si="148"/>
        <v>0</v>
      </c>
      <c r="V226" s="115">
        <f>+S226*$M$3/'COST DATA'!$D$26</f>
        <v>0</v>
      </c>
      <c r="W226" s="16">
        <f t="shared" si="158"/>
        <v>0</v>
      </c>
      <c r="X226" s="27">
        <f t="shared" si="150"/>
        <v>0</v>
      </c>
      <c r="Y226" s="27">
        <f t="shared" si="151"/>
        <v>0</v>
      </c>
      <c r="Z226" s="4">
        <f t="shared" si="152"/>
        <v>0</v>
      </c>
      <c r="AA226" s="82">
        <f>+'Finished goods'!$O$3*'PRIVATE CUSTOMER (BtoC)'!T226</f>
        <v>0</v>
      </c>
      <c r="AB226" s="82">
        <f>+'Finished goods'!$P$23*R226</f>
        <v>0</v>
      </c>
      <c r="AC226" s="83">
        <f t="shared" si="153"/>
        <v>0</v>
      </c>
      <c r="AD226" s="93" t="e">
        <f t="shared" si="154"/>
        <v>#DIV/0!</v>
      </c>
      <c r="AE226" s="93">
        <f>+'REVENUE DATA'!$D$23</f>
        <v>0</v>
      </c>
      <c r="AF226" s="90" t="e">
        <f t="shared" si="155"/>
        <v>#DIV/0!</v>
      </c>
      <c r="AG226" s="91" t="e">
        <f t="shared" si="156"/>
        <v>#DIV/0!</v>
      </c>
      <c r="AH226" s="92">
        <f t="shared" si="157"/>
        <v>0</v>
      </c>
    </row>
    <row r="227" spans="1:34" x14ac:dyDescent="0.3">
      <c r="A227" s="223"/>
      <c r="B227" s="4"/>
      <c r="C227" s="4" t="str">
        <f t="shared" si="146"/>
        <v>Bicchiere colonna twist3</v>
      </c>
      <c r="D227" s="5">
        <f t="shared" si="146"/>
        <v>1</v>
      </c>
      <c r="E227" s="5">
        <f t="shared" si="146"/>
        <v>1</v>
      </c>
      <c r="F227" s="5">
        <f t="shared" si="146"/>
        <v>0.59</v>
      </c>
      <c r="G227" s="5">
        <f t="shared" si="146"/>
        <v>59</v>
      </c>
      <c r="H227" s="4">
        <f t="shared" si="146"/>
        <v>9.7984652999999995E-5</v>
      </c>
      <c r="I227" s="6">
        <f t="shared" si="146"/>
        <v>0.27217959166666666</v>
      </c>
      <c r="J227" s="6">
        <f t="shared" si="146"/>
        <v>0.2449616325</v>
      </c>
      <c r="R227" s="23">
        <v>0</v>
      </c>
      <c r="S227" s="6">
        <f t="shared" si="144"/>
        <v>0</v>
      </c>
      <c r="T227" s="6">
        <f t="shared" si="147"/>
        <v>0</v>
      </c>
      <c r="U227" s="4">
        <f t="shared" si="148"/>
        <v>0</v>
      </c>
      <c r="V227" s="115">
        <f>+S227*$M$3/'COST DATA'!$D$26</f>
        <v>0</v>
      </c>
      <c r="W227" s="16">
        <f t="shared" si="158"/>
        <v>0</v>
      </c>
      <c r="X227" s="27">
        <f t="shared" si="150"/>
        <v>0</v>
      </c>
      <c r="Y227" s="27">
        <f t="shared" si="151"/>
        <v>0</v>
      </c>
      <c r="Z227" s="4">
        <f t="shared" si="152"/>
        <v>0</v>
      </c>
      <c r="AA227" s="82">
        <f>+'Finished goods'!$O$3*'PRIVATE CUSTOMER (BtoC)'!T227</f>
        <v>0</v>
      </c>
      <c r="AB227" s="82">
        <f>+'Finished goods'!$P$24*R227</f>
        <v>0</v>
      </c>
      <c r="AC227" s="83">
        <f t="shared" si="153"/>
        <v>0</v>
      </c>
      <c r="AD227" s="93" t="e">
        <f t="shared" si="154"/>
        <v>#DIV/0!</v>
      </c>
      <c r="AE227" s="93">
        <f>+'REVENUE DATA'!$D$24</f>
        <v>0</v>
      </c>
      <c r="AF227" s="90" t="e">
        <f t="shared" si="155"/>
        <v>#DIV/0!</v>
      </c>
      <c r="AG227" s="91" t="e">
        <f t="shared" si="156"/>
        <v>#DIV/0!</v>
      </c>
      <c r="AH227" s="92">
        <f t="shared" si="157"/>
        <v>0</v>
      </c>
    </row>
    <row r="228" spans="1:34" x14ac:dyDescent="0.3">
      <c r="A228" s="223"/>
      <c r="B228" s="4"/>
      <c r="C228" s="4" t="str">
        <f t="shared" si="146"/>
        <v>Bicchiere colonna twist alto</v>
      </c>
      <c r="D228" s="5">
        <f t="shared" si="146"/>
        <v>1</v>
      </c>
      <c r="E228" s="5">
        <f t="shared" si="146"/>
        <v>1</v>
      </c>
      <c r="F228" s="5">
        <f t="shared" si="146"/>
        <v>0.57999999999999996</v>
      </c>
      <c r="G228" s="5">
        <f t="shared" si="146"/>
        <v>58</v>
      </c>
      <c r="H228" s="4">
        <f t="shared" si="146"/>
        <v>9.4065272999999995E-5</v>
      </c>
      <c r="I228" s="6">
        <f t="shared" si="146"/>
        <v>0.26129242499999999</v>
      </c>
      <c r="J228" s="6">
        <f t="shared" si="146"/>
        <v>0.23516318249999998</v>
      </c>
      <c r="R228" s="23">
        <v>0</v>
      </c>
      <c r="S228" s="6">
        <f t="shared" si="144"/>
        <v>0</v>
      </c>
      <c r="T228" s="6">
        <f t="shared" si="147"/>
        <v>0</v>
      </c>
      <c r="U228" s="4">
        <f t="shared" si="148"/>
        <v>0</v>
      </c>
      <c r="V228" s="115">
        <f>+S228*$M$3/'COST DATA'!$D$26</f>
        <v>0</v>
      </c>
      <c r="W228" s="16">
        <f t="shared" si="158"/>
        <v>0</v>
      </c>
      <c r="X228" s="27">
        <f t="shared" si="150"/>
        <v>0</v>
      </c>
      <c r="Y228" s="27">
        <f t="shared" si="151"/>
        <v>0</v>
      </c>
      <c r="Z228" s="4">
        <f t="shared" si="152"/>
        <v>0</v>
      </c>
      <c r="AA228" s="82">
        <f>+'Finished goods'!$O$3*'PRIVATE CUSTOMER (BtoC)'!T228</f>
        <v>0</v>
      </c>
      <c r="AB228" s="82">
        <f>+'Finished goods'!$P$25*R228</f>
        <v>0</v>
      </c>
      <c r="AC228" s="83">
        <f t="shared" si="153"/>
        <v>0</v>
      </c>
      <c r="AD228" s="93" t="e">
        <f t="shared" si="154"/>
        <v>#DIV/0!</v>
      </c>
      <c r="AE228" s="93">
        <f>+'REVENUE DATA'!$D$25</f>
        <v>0</v>
      </c>
      <c r="AF228" s="90" t="e">
        <f t="shared" si="155"/>
        <v>#DIV/0!</v>
      </c>
      <c r="AG228" s="91" t="e">
        <f t="shared" si="156"/>
        <v>#DIV/0!</v>
      </c>
      <c r="AH228" s="92">
        <f t="shared" si="157"/>
        <v>0</v>
      </c>
    </row>
    <row r="229" spans="1:34" x14ac:dyDescent="0.3">
      <c r="A229" s="223"/>
      <c r="B229" s="4"/>
      <c r="C229" s="4" t="str">
        <f t="shared" si="146"/>
        <v>Oliera1</v>
      </c>
      <c r="D229" s="5">
        <f t="shared" si="146"/>
        <v>2</v>
      </c>
      <c r="E229" s="5">
        <f t="shared" si="146"/>
        <v>1</v>
      </c>
      <c r="F229" s="5">
        <f t="shared" si="146"/>
        <v>0.54</v>
      </c>
      <c r="G229" s="5">
        <f t="shared" si="146"/>
        <v>54</v>
      </c>
      <c r="H229" s="4">
        <f t="shared" si="146"/>
        <v>1.830542E-4</v>
      </c>
      <c r="I229" s="6">
        <f t="shared" si="146"/>
        <v>0.50848388888888885</v>
      </c>
      <c r="J229" s="6">
        <f t="shared" si="146"/>
        <v>0.45763549999999997</v>
      </c>
      <c r="R229" s="23">
        <v>0</v>
      </c>
      <c r="S229" s="6">
        <f t="shared" si="144"/>
        <v>0</v>
      </c>
      <c r="T229" s="6">
        <f t="shared" si="147"/>
        <v>0</v>
      </c>
      <c r="U229" s="4">
        <f t="shared" si="148"/>
        <v>0</v>
      </c>
      <c r="V229" s="115">
        <f>+S229*$M$3/'COST DATA'!$D$26</f>
        <v>0</v>
      </c>
      <c r="W229" s="16">
        <f t="shared" si="158"/>
        <v>0</v>
      </c>
      <c r="X229" s="27">
        <f t="shared" si="150"/>
        <v>0</v>
      </c>
      <c r="Y229" s="27">
        <f t="shared" si="151"/>
        <v>0</v>
      </c>
      <c r="Z229" s="4">
        <f t="shared" si="152"/>
        <v>0</v>
      </c>
      <c r="AA229" s="82">
        <f>+'Finished goods'!$O$3*'PRIVATE CUSTOMER (BtoC)'!T229</f>
        <v>0</v>
      </c>
      <c r="AB229" s="82">
        <f>+'Finished goods'!$P$26*R229</f>
        <v>0</v>
      </c>
      <c r="AC229" s="83">
        <f t="shared" si="153"/>
        <v>0</v>
      </c>
      <c r="AD229" s="93" t="e">
        <f t="shared" si="154"/>
        <v>#DIV/0!</v>
      </c>
      <c r="AE229" s="93">
        <f>+'REVENUE DATA'!$D$26</f>
        <v>0</v>
      </c>
      <c r="AF229" s="90" t="e">
        <f t="shared" si="155"/>
        <v>#DIV/0!</v>
      </c>
      <c r="AG229" s="91" t="e">
        <f t="shared" si="156"/>
        <v>#DIV/0!</v>
      </c>
      <c r="AH229" s="92">
        <f t="shared" si="157"/>
        <v>0</v>
      </c>
    </row>
    <row r="230" spans="1:34" ht="15" thickBot="1" x14ac:dyDescent="0.35">
      <c r="A230" s="224"/>
      <c r="B230" s="4"/>
      <c r="C230" s="4" t="str">
        <f t="shared" si="146"/>
        <v>Piatto spirale</v>
      </c>
      <c r="D230" s="5">
        <f t="shared" si="146"/>
        <v>4</v>
      </c>
      <c r="E230" s="5">
        <f t="shared" si="146"/>
        <v>5</v>
      </c>
      <c r="F230" s="5">
        <f t="shared" si="146"/>
        <v>0.25</v>
      </c>
      <c r="G230" s="5">
        <f t="shared" si="146"/>
        <v>25</v>
      </c>
      <c r="H230" s="4">
        <f t="shared" si="146"/>
        <v>1.575448E-4</v>
      </c>
      <c r="I230" s="6">
        <f t="shared" si="146"/>
        <v>0.43762444444444443</v>
      </c>
      <c r="J230" s="6">
        <f t="shared" si="146"/>
        <v>0.39386199999999999</v>
      </c>
      <c r="R230" s="23">
        <v>0</v>
      </c>
      <c r="S230" s="6">
        <f t="shared" si="144"/>
        <v>0</v>
      </c>
      <c r="T230" s="6">
        <f t="shared" si="147"/>
        <v>0</v>
      </c>
      <c r="U230" s="4">
        <f t="shared" si="148"/>
        <v>0</v>
      </c>
      <c r="V230" s="116">
        <f>+S230*$M$3/'COST DATA'!$D$26</f>
        <v>0</v>
      </c>
      <c r="W230" s="117">
        <f t="shared" si="158"/>
        <v>0</v>
      </c>
      <c r="X230" s="118">
        <f t="shared" si="150"/>
        <v>0</v>
      </c>
      <c r="Y230" s="118">
        <f t="shared" si="151"/>
        <v>0</v>
      </c>
      <c r="Z230" s="119">
        <f t="shared" si="152"/>
        <v>0</v>
      </c>
      <c r="AA230" s="85">
        <f>+'Finished goods'!$O$3*'PRIVATE CUSTOMER (BtoC)'!T230</f>
        <v>0</v>
      </c>
      <c r="AB230" s="85">
        <f>+'Finished goods'!$P$27*R230</f>
        <v>0</v>
      </c>
      <c r="AC230" s="86">
        <f t="shared" si="153"/>
        <v>0</v>
      </c>
      <c r="AD230" s="93" t="e">
        <f t="shared" si="154"/>
        <v>#DIV/0!</v>
      </c>
      <c r="AE230" s="93">
        <f>+'REVENUE DATA'!$D$27</f>
        <v>0</v>
      </c>
      <c r="AF230" s="90" t="e">
        <f t="shared" si="155"/>
        <v>#DIV/0!</v>
      </c>
      <c r="AG230" s="91" t="e">
        <f t="shared" si="156"/>
        <v>#DIV/0!</v>
      </c>
      <c r="AH230" s="92">
        <f t="shared" si="157"/>
        <v>0</v>
      </c>
    </row>
    <row r="233" spans="1:34" ht="18.600000000000001" thickBot="1" x14ac:dyDescent="0.4">
      <c r="D233" s="237" t="s">
        <v>40</v>
      </c>
      <c r="E233" s="237"/>
      <c r="F233" s="237"/>
      <c r="G233" s="237"/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10" t="s">
        <v>32</v>
      </c>
      <c r="S233" s="87">
        <f>+S235/60/7</f>
        <v>0</v>
      </c>
      <c r="T233" s="88" t="s">
        <v>83</v>
      </c>
    </row>
    <row r="234" spans="1:34" x14ac:dyDescent="0.3">
      <c r="D234" s="236" t="s">
        <v>33</v>
      </c>
      <c r="E234" s="236"/>
      <c r="F234" s="236"/>
      <c r="G234" s="236"/>
      <c r="H234" s="236"/>
      <c r="I234" s="236"/>
      <c r="J234" s="236"/>
      <c r="M234" s="236" t="s">
        <v>36</v>
      </c>
      <c r="N234" s="236"/>
      <c r="O234" s="236"/>
      <c r="P234" s="236"/>
      <c r="Q234" s="236"/>
      <c r="V234" s="238" t="s">
        <v>135</v>
      </c>
      <c r="W234" s="239"/>
      <c r="X234" s="239"/>
      <c r="Y234" s="239"/>
      <c r="Z234" s="239"/>
      <c r="AA234" s="239"/>
      <c r="AB234" s="239"/>
      <c r="AC234" s="240"/>
    </row>
    <row r="235" spans="1:34" ht="18" x14ac:dyDescent="0.35">
      <c r="F235" s="225" t="s">
        <v>44</v>
      </c>
      <c r="G235" s="225"/>
      <c r="I235" s="20">
        <f>SUBTOTAL(9,I237:I259)</f>
        <v>59.570075669444442</v>
      </c>
      <c r="J235" s="20">
        <f>SUBTOTAL(9,J237:J259)</f>
        <v>53.613068102499987</v>
      </c>
      <c r="K235" s="1">
        <f>+'Finished goods'!$I$3</f>
        <v>2500</v>
      </c>
      <c r="L235" s="1">
        <f>+'Finished goods'!$J$3</f>
        <v>0.9</v>
      </c>
      <c r="M235" s="15">
        <f>+'Finished goods'!$K$3</f>
        <v>0.50772709939119998</v>
      </c>
      <c r="N235" s="15">
        <f>+'Finished goods'!$L$3</f>
        <v>6.7889999999999999E-3</v>
      </c>
      <c r="O235" s="13">
        <f>+'Finished goods'!$M$3</f>
        <v>0.15750000000000003</v>
      </c>
      <c r="P235" s="46">
        <f>+'Finished goods'!$N$3</f>
        <v>5.8880308880308881E-2</v>
      </c>
      <c r="Q235" s="1"/>
      <c r="S235" s="17">
        <f>SUBTOTAL(9,S237:S259)</f>
        <v>0</v>
      </c>
      <c r="T235" s="17">
        <f>SUBTOTAL(9,T237:T259)</f>
        <v>0</v>
      </c>
      <c r="U235" s="75">
        <f>SUBTOTAL(9,U237:U259)</f>
        <v>0</v>
      </c>
      <c r="V235" s="77">
        <f t="shared" ref="V235:AC235" si="159">SUBTOTAL(9,V237:V259)</f>
        <v>0</v>
      </c>
      <c r="W235" s="17">
        <f t="shared" si="159"/>
        <v>0</v>
      </c>
      <c r="X235" s="17">
        <f t="shared" si="159"/>
        <v>0</v>
      </c>
      <c r="Y235" s="17">
        <f t="shared" si="159"/>
        <v>0</v>
      </c>
      <c r="Z235" s="17">
        <f t="shared" si="159"/>
        <v>0</v>
      </c>
      <c r="AA235" s="17">
        <f t="shared" si="159"/>
        <v>0</v>
      </c>
      <c r="AB235" s="17">
        <f t="shared" si="159"/>
        <v>0</v>
      </c>
      <c r="AC235" s="78">
        <f t="shared" si="159"/>
        <v>0</v>
      </c>
      <c r="AF235" s="225" t="s">
        <v>118</v>
      </c>
      <c r="AG235" s="225"/>
      <c r="AH235" s="108">
        <f t="shared" ref="AH235" si="160">SUBTOTAL(9,AH237:AH259)</f>
        <v>0</v>
      </c>
    </row>
    <row r="236" spans="1:34" x14ac:dyDescent="0.3">
      <c r="A236" s="1" t="s">
        <v>145</v>
      </c>
      <c r="B236" s="1" t="s">
        <v>30</v>
      </c>
      <c r="C236" s="1" t="s">
        <v>0</v>
      </c>
      <c r="D236" s="1" t="s">
        <v>4</v>
      </c>
      <c r="E236" s="1" t="s">
        <v>5</v>
      </c>
      <c r="F236" s="1" t="s">
        <v>45</v>
      </c>
      <c r="G236" s="1" t="s">
        <v>57</v>
      </c>
      <c r="H236" s="1" t="s">
        <v>6</v>
      </c>
      <c r="I236" s="1" t="s">
        <v>2</v>
      </c>
      <c r="J236" s="1" t="s">
        <v>7</v>
      </c>
      <c r="K236" s="1" t="s">
        <v>31</v>
      </c>
      <c r="L236" s="1" t="s">
        <v>8</v>
      </c>
      <c r="M236" s="1" t="s">
        <v>34</v>
      </c>
      <c r="N236" s="1" t="s">
        <v>35</v>
      </c>
      <c r="O236" s="1" t="s">
        <v>37</v>
      </c>
      <c r="P236" s="1" t="s">
        <v>93</v>
      </c>
      <c r="Q236" s="1" t="s">
        <v>94</v>
      </c>
      <c r="R236" s="11" t="s">
        <v>39</v>
      </c>
      <c r="S236" s="2" t="s">
        <v>43</v>
      </c>
      <c r="T236" s="2" t="s">
        <v>2</v>
      </c>
      <c r="U236" s="76" t="s">
        <v>7</v>
      </c>
      <c r="V236" s="79" t="str">
        <f>+V4</f>
        <v>energia €/h</v>
      </c>
      <c r="W236" s="79" t="str">
        <f t="shared" ref="W236:AB236" si="161">+W4</f>
        <v>materiale €/Kg</v>
      </c>
      <c r="X236" s="79" t="str">
        <f t="shared" si="161"/>
        <v>mod</v>
      </c>
      <c r="Y236" s="79" t="str">
        <f t="shared" si="161"/>
        <v>ammort</v>
      </c>
      <c r="Z236" s="79" t="str">
        <f t="shared" si="161"/>
        <v>Accensione</v>
      </c>
      <c r="AA236" s="79" t="str">
        <f t="shared" si="161"/>
        <v>trasporto</v>
      </c>
      <c r="AB236" s="79" t="str">
        <f t="shared" si="161"/>
        <v>forniture</v>
      </c>
      <c r="AC236" s="80" t="s">
        <v>42</v>
      </c>
      <c r="AD236" s="53" t="s">
        <v>116</v>
      </c>
      <c r="AE236" s="1" t="s">
        <v>117</v>
      </c>
      <c r="AF236" s="1" t="s">
        <v>119</v>
      </c>
      <c r="AG236" s="1" t="s">
        <v>120</v>
      </c>
      <c r="AH236" s="1" t="s">
        <v>121</v>
      </c>
    </row>
    <row r="237" spans="1:34" x14ac:dyDescent="0.3">
      <c r="A237" s="222" t="s">
        <v>419</v>
      </c>
      <c r="B237" s="4"/>
      <c r="C237" s="4" t="str">
        <f>+C208</f>
        <v>Tavolo twist Logo</v>
      </c>
      <c r="D237" s="5">
        <f>+D208</f>
        <v>8</v>
      </c>
      <c r="E237" s="5">
        <f t="shared" ref="E237:J237" si="162">+E208</f>
        <v>10</v>
      </c>
      <c r="F237" s="5">
        <f t="shared" si="162"/>
        <v>1.22</v>
      </c>
      <c r="G237" s="5">
        <f t="shared" si="162"/>
        <v>82</v>
      </c>
      <c r="H237" s="4">
        <f t="shared" si="162"/>
        <v>7.9769999999999997E-3</v>
      </c>
      <c r="I237" s="6">
        <f t="shared" si="162"/>
        <v>22.158333333333331</v>
      </c>
      <c r="J237" s="6">
        <f t="shared" si="162"/>
        <v>19.942499999999999</v>
      </c>
      <c r="R237" s="23">
        <v>0</v>
      </c>
      <c r="S237" s="6">
        <f t="shared" ref="S237:S259" si="163">+G237*$R237</f>
        <v>0</v>
      </c>
      <c r="T237" s="6">
        <f t="shared" ref="T237" si="164">+I237*$R237</f>
        <v>0</v>
      </c>
      <c r="U237" s="4">
        <f>+J237*$R237</f>
        <v>0</v>
      </c>
      <c r="V237" s="115">
        <f>+S237*$M$3/'COST DATA'!$D$26</f>
        <v>0</v>
      </c>
      <c r="W237" s="16">
        <f>+U237*$N$3</f>
        <v>0</v>
      </c>
      <c r="X237" s="27">
        <f>+S237*$O$3</f>
        <v>0</v>
      </c>
      <c r="Y237" s="27">
        <f>+S237*$P$3</f>
        <v>0</v>
      </c>
      <c r="Z237" s="4">
        <f>+(S237/$S$3)*($S$1)</f>
        <v>0</v>
      </c>
      <c r="AA237" s="82">
        <f>+'Finished goods'!$O$3*'PRIVATE CUSTOMER (BtoC)'!T237</f>
        <v>0</v>
      </c>
      <c r="AB237" s="82">
        <f>+'Finished goods'!$P$5*R237</f>
        <v>0</v>
      </c>
      <c r="AC237" s="83">
        <f>SUM(V237:AB237)</f>
        <v>0</v>
      </c>
      <c r="AD237" s="93" t="e">
        <f>+AC237/R237</f>
        <v>#DIV/0!</v>
      </c>
      <c r="AE237" s="93">
        <f>+'REVENUE DATA'!$D$5</f>
        <v>1200</v>
      </c>
      <c r="AF237" s="90" t="e">
        <f>+AE237-AD237</f>
        <v>#DIV/0!</v>
      </c>
      <c r="AG237" s="91" t="e">
        <f>+AF237/AD237</f>
        <v>#DIV/0!</v>
      </c>
      <c r="AH237" s="92">
        <f>+AE237*R237</f>
        <v>0</v>
      </c>
    </row>
    <row r="238" spans="1:34" x14ac:dyDescent="0.3">
      <c r="A238" s="223"/>
      <c r="B238" s="4"/>
      <c r="C238" s="4" t="str">
        <f t="shared" ref="C238:J259" si="165">+C209</f>
        <v xml:space="preserve">Vaso bitorzolo curvo </v>
      </c>
      <c r="D238" s="5">
        <f t="shared" si="165"/>
        <v>4</v>
      </c>
      <c r="E238" s="5">
        <f t="shared" si="165"/>
        <v>2</v>
      </c>
      <c r="F238" s="5">
        <f t="shared" si="165"/>
        <v>5.21</v>
      </c>
      <c r="G238" s="5">
        <f t="shared" si="165"/>
        <v>321</v>
      </c>
      <c r="H238" s="4">
        <f t="shared" si="165"/>
        <v>6.0029599999999995E-4</v>
      </c>
      <c r="I238" s="6">
        <f t="shared" si="165"/>
        <v>1.6674888888888888</v>
      </c>
      <c r="J238" s="6">
        <f t="shared" si="165"/>
        <v>1.50074</v>
      </c>
      <c r="R238" s="23">
        <v>0</v>
      </c>
      <c r="S238" s="6">
        <f t="shared" si="163"/>
        <v>0</v>
      </c>
      <c r="T238" s="6">
        <f t="shared" ref="T238:T259" si="166">+H238*$R238</f>
        <v>0</v>
      </c>
      <c r="U238" s="4">
        <f t="shared" ref="U238:U259" si="167">+J238*$R238</f>
        <v>0</v>
      </c>
      <c r="V238" s="115">
        <f>+S238*$M$3/'COST DATA'!$D$26</f>
        <v>0</v>
      </c>
      <c r="W238" s="16">
        <f t="shared" ref="W238:W248" si="168">+U238*$N$3</f>
        <v>0</v>
      </c>
      <c r="X238" s="27">
        <f t="shared" ref="X238:X259" si="169">+S238*$O$3</f>
        <v>0</v>
      </c>
      <c r="Y238" s="27">
        <f t="shared" ref="Y238:Y259" si="170">+S238*$P$3</f>
        <v>0</v>
      </c>
      <c r="Z238" s="4">
        <f t="shared" ref="Z238:Z259" si="171">+(S238/$S$3)*($S$1)</f>
        <v>0</v>
      </c>
      <c r="AA238" s="82">
        <f>+'Finished goods'!$O$3*'PRIVATE CUSTOMER (BtoC)'!T238</f>
        <v>0</v>
      </c>
      <c r="AB238" s="82">
        <f>+'Finished goods'!$P$6*R238</f>
        <v>0</v>
      </c>
      <c r="AC238" s="83">
        <f t="shared" ref="AC238:AC259" si="172">SUM(V238:AB238)</f>
        <v>0</v>
      </c>
      <c r="AD238" s="93" t="e">
        <f t="shared" ref="AD238:AD259" si="173">+AC238/R238</f>
        <v>#DIV/0!</v>
      </c>
      <c r="AE238" s="93">
        <f>+'REVENUE DATA'!$D$6</f>
        <v>350</v>
      </c>
      <c r="AF238" s="90" t="e">
        <f t="shared" ref="AF238:AF259" si="174">+AE238-AD238</f>
        <v>#DIV/0!</v>
      </c>
      <c r="AG238" s="91" t="e">
        <f t="shared" ref="AG238:AG259" si="175">+AF238/AD238</f>
        <v>#DIV/0!</v>
      </c>
      <c r="AH238" s="92">
        <f t="shared" ref="AH238:AH259" si="176">+AE238*R238</f>
        <v>0</v>
      </c>
    </row>
    <row r="239" spans="1:34" x14ac:dyDescent="0.3">
      <c r="A239" s="223"/>
      <c r="B239" s="4"/>
      <c r="C239" s="4" t="str">
        <f t="shared" si="165"/>
        <v>Vaso bitorzolo twist</v>
      </c>
      <c r="D239" s="5">
        <f t="shared" si="165"/>
        <v>4</v>
      </c>
      <c r="E239" s="5">
        <f t="shared" si="165"/>
        <v>2</v>
      </c>
      <c r="F239" s="5">
        <f t="shared" si="165"/>
        <v>5.15</v>
      </c>
      <c r="G239" s="5">
        <f t="shared" si="165"/>
        <v>315</v>
      </c>
      <c r="H239" s="4">
        <f t="shared" si="165"/>
        <v>8.005105E-4</v>
      </c>
      <c r="I239" s="6">
        <f t="shared" si="165"/>
        <v>2.2236402777777777</v>
      </c>
      <c r="J239" s="6">
        <f t="shared" si="165"/>
        <v>2.0012762500000001</v>
      </c>
      <c r="R239" s="23">
        <v>0</v>
      </c>
      <c r="S239" s="6">
        <f t="shared" si="163"/>
        <v>0</v>
      </c>
      <c r="T239" s="6">
        <f t="shared" si="166"/>
        <v>0</v>
      </c>
      <c r="U239" s="4">
        <f t="shared" si="167"/>
        <v>0</v>
      </c>
      <c r="V239" s="115">
        <f>+S239*$M$3/'COST DATA'!$D$26</f>
        <v>0</v>
      </c>
      <c r="W239" s="16">
        <f t="shared" si="168"/>
        <v>0</v>
      </c>
      <c r="X239" s="27">
        <f t="shared" si="169"/>
        <v>0</v>
      </c>
      <c r="Y239" s="27">
        <f t="shared" si="170"/>
        <v>0</v>
      </c>
      <c r="Z239" s="4">
        <f t="shared" si="171"/>
        <v>0</v>
      </c>
      <c r="AA239" s="82">
        <f>+'Finished goods'!$O$3*'PRIVATE CUSTOMER (BtoC)'!T239</f>
        <v>0</v>
      </c>
      <c r="AB239" s="82">
        <f>+'Finished goods'!$P$7*R239</f>
        <v>0</v>
      </c>
      <c r="AC239" s="83">
        <f t="shared" si="172"/>
        <v>0</v>
      </c>
      <c r="AD239" s="93" t="e">
        <f t="shared" si="173"/>
        <v>#DIV/0!</v>
      </c>
      <c r="AE239" s="93">
        <f>+'REVENUE DATA'!$D$7</f>
        <v>350</v>
      </c>
      <c r="AF239" s="90" t="e">
        <f t="shared" si="174"/>
        <v>#DIV/0!</v>
      </c>
      <c r="AG239" s="91" t="e">
        <f t="shared" si="175"/>
        <v>#DIV/0!</v>
      </c>
      <c r="AH239" s="92">
        <f t="shared" si="176"/>
        <v>0</v>
      </c>
    </row>
    <row r="240" spans="1:34" x14ac:dyDescent="0.3">
      <c r="A240" s="223"/>
      <c r="B240" s="4"/>
      <c r="C240" s="4" t="str">
        <f t="shared" si="165"/>
        <v>Vaso bitorzolo dritto</v>
      </c>
      <c r="D240" s="5">
        <f t="shared" si="165"/>
        <v>4</v>
      </c>
      <c r="E240" s="5">
        <f t="shared" si="165"/>
        <v>2</v>
      </c>
      <c r="F240" s="5">
        <f t="shared" si="165"/>
        <v>4.4800000000000004</v>
      </c>
      <c r="G240" s="5">
        <f t="shared" si="165"/>
        <v>288</v>
      </c>
      <c r="H240" s="4">
        <f t="shared" si="165"/>
        <v>8.2321687099999998E-4</v>
      </c>
      <c r="I240" s="6">
        <f t="shared" si="165"/>
        <v>2.2867135305555553</v>
      </c>
      <c r="J240" s="6">
        <f t="shared" si="165"/>
        <v>2.0580421775</v>
      </c>
      <c r="R240" s="23">
        <v>0</v>
      </c>
      <c r="S240" s="6">
        <f t="shared" si="163"/>
        <v>0</v>
      </c>
      <c r="T240" s="6">
        <f t="shared" si="166"/>
        <v>0</v>
      </c>
      <c r="U240" s="4">
        <f t="shared" si="167"/>
        <v>0</v>
      </c>
      <c r="V240" s="115">
        <f>+S240*$M$3/'COST DATA'!$D$26</f>
        <v>0</v>
      </c>
      <c r="W240" s="16">
        <f t="shared" si="168"/>
        <v>0</v>
      </c>
      <c r="X240" s="27">
        <f t="shared" si="169"/>
        <v>0</v>
      </c>
      <c r="Y240" s="27">
        <f t="shared" si="170"/>
        <v>0</v>
      </c>
      <c r="Z240" s="4">
        <f t="shared" si="171"/>
        <v>0</v>
      </c>
      <c r="AA240" s="82">
        <f>+'Finished goods'!$O$3*'PRIVATE CUSTOMER (BtoC)'!T240</f>
        <v>0</v>
      </c>
      <c r="AB240" s="82">
        <f>+'Finished goods'!$P$8*R240</f>
        <v>0</v>
      </c>
      <c r="AC240" s="83">
        <f t="shared" si="172"/>
        <v>0</v>
      </c>
      <c r="AD240" s="93" t="e">
        <f t="shared" si="173"/>
        <v>#DIV/0!</v>
      </c>
      <c r="AE240" s="93">
        <f>+'REVENUE DATA'!$D$8</f>
        <v>350</v>
      </c>
      <c r="AF240" s="90" t="e">
        <f t="shared" si="174"/>
        <v>#DIV/0!</v>
      </c>
      <c r="AG240" s="91" t="e">
        <f t="shared" si="175"/>
        <v>#DIV/0!</v>
      </c>
      <c r="AH240" s="92">
        <f t="shared" si="176"/>
        <v>0</v>
      </c>
    </row>
    <row r="241" spans="1:34" x14ac:dyDescent="0.3">
      <c r="A241" s="223"/>
      <c r="B241" s="4"/>
      <c r="C241" s="4" t="str">
        <f t="shared" si="165"/>
        <v>Porta riviste</v>
      </c>
      <c r="D241" s="5">
        <f t="shared" si="165"/>
        <v>10</v>
      </c>
      <c r="E241" s="5">
        <f t="shared" si="165"/>
        <v>10</v>
      </c>
      <c r="F241" s="5">
        <f t="shared" si="165"/>
        <v>0.42</v>
      </c>
      <c r="G241" s="5">
        <f t="shared" si="165"/>
        <v>42</v>
      </c>
      <c r="H241" s="4">
        <f t="shared" si="165"/>
        <v>3.5606798E-3</v>
      </c>
      <c r="I241" s="6">
        <f t="shared" si="165"/>
        <v>9.890777222222221</v>
      </c>
      <c r="J241" s="6">
        <f t="shared" si="165"/>
        <v>8.9016994999999994</v>
      </c>
      <c r="R241" s="23">
        <v>0</v>
      </c>
      <c r="S241" s="6">
        <f t="shared" si="163"/>
        <v>0</v>
      </c>
      <c r="T241" s="6">
        <f t="shared" si="166"/>
        <v>0</v>
      </c>
      <c r="U241" s="4">
        <f t="shared" si="167"/>
        <v>0</v>
      </c>
      <c r="V241" s="115">
        <f>+S241*$M$3/'COST DATA'!$D$26</f>
        <v>0</v>
      </c>
      <c r="W241" s="16">
        <f t="shared" si="168"/>
        <v>0</v>
      </c>
      <c r="X241" s="27">
        <f t="shared" si="169"/>
        <v>0</v>
      </c>
      <c r="Y241" s="27">
        <f t="shared" si="170"/>
        <v>0</v>
      </c>
      <c r="Z241" s="4">
        <f t="shared" si="171"/>
        <v>0</v>
      </c>
      <c r="AA241" s="82">
        <f>+'Finished goods'!$O$3*'PRIVATE CUSTOMER (BtoC)'!T241</f>
        <v>0</v>
      </c>
      <c r="AB241" s="82">
        <f>+'Finished goods'!$P$9*R241</f>
        <v>0</v>
      </c>
      <c r="AC241" s="83">
        <f t="shared" si="172"/>
        <v>0</v>
      </c>
      <c r="AD241" s="93" t="e">
        <f t="shared" si="173"/>
        <v>#DIV/0!</v>
      </c>
      <c r="AE241" s="93">
        <f>+'REVENUE DATA'!$D$9</f>
        <v>180</v>
      </c>
      <c r="AF241" s="90" t="e">
        <f t="shared" si="174"/>
        <v>#DIV/0!</v>
      </c>
      <c r="AG241" s="91" t="e">
        <f t="shared" si="175"/>
        <v>#DIV/0!</v>
      </c>
      <c r="AH241" s="92">
        <f t="shared" si="176"/>
        <v>0</v>
      </c>
    </row>
    <row r="242" spans="1:34" x14ac:dyDescent="0.3">
      <c r="A242" s="223"/>
      <c r="B242" s="4"/>
      <c r="C242" s="4" t="str">
        <f t="shared" si="165"/>
        <v>Lampada 90 grossa</v>
      </c>
      <c r="D242" s="5">
        <f t="shared" si="165"/>
        <v>8</v>
      </c>
      <c r="E242" s="5">
        <f t="shared" si="165"/>
        <v>10</v>
      </c>
      <c r="F242" s="5">
        <f t="shared" si="165"/>
        <v>1.39</v>
      </c>
      <c r="G242" s="5">
        <f t="shared" si="165"/>
        <v>99</v>
      </c>
      <c r="H242" s="4">
        <f t="shared" si="165"/>
        <v>1.7366300000000001E-3</v>
      </c>
      <c r="I242" s="6">
        <f t="shared" si="165"/>
        <v>4.8239722222222232</v>
      </c>
      <c r="J242" s="6">
        <f t="shared" si="165"/>
        <v>4.3415750000000006</v>
      </c>
      <c r="R242" s="23">
        <v>0</v>
      </c>
      <c r="S242" s="6">
        <f t="shared" si="163"/>
        <v>0</v>
      </c>
      <c r="T242" s="6">
        <f t="shared" si="166"/>
        <v>0</v>
      </c>
      <c r="U242" s="4">
        <f t="shared" si="167"/>
        <v>0</v>
      </c>
      <c r="V242" s="115">
        <f>+S242*$M$3/'COST DATA'!$D$26</f>
        <v>0</v>
      </c>
      <c r="W242" s="16">
        <f t="shared" si="168"/>
        <v>0</v>
      </c>
      <c r="X242" s="27">
        <f t="shared" si="169"/>
        <v>0</v>
      </c>
      <c r="Y242" s="27">
        <f t="shared" si="170"/>
        <v>0</v>
      </c>
      <c r="Z242" s="4">
        <f t="shared" si="171"/>
        <v>0</v>
      </c>
      <c r="AA242" s="82">
        <f>+'Finished goods'!$O$3*'PRIVATE CUSTOMER (BtoC)'!T242</f>
        <v>0</v>
      </c>
      <c r="AB242" s="82">
        <f>+'Finished goods'!$P$10*R242</f>
        <v>0</v>
      </c>
      <c r="AC242" s="83">
        <f t="shared" si="172"/>
        <v>0</v>
      </c>
      <c r="AD242" s="93" t="e">
        <f t="shared" si="173"/>
        <v>#DIV/0!</v>
      </c>
      <c r="AE242" s="93">
        <f>+'REVENUE DATA'!$D$10</f>
        <v>450</v>
      </c>
      <c r="AF242" s="90" t="e">
        <f t="shared" si="174"/>
        <v>#DIV/0!</v>
      </c>
      <c r="AG242" s="91" t="e">
        <f t="shared" si="175"/>
        <v>#DIV/0!</v>
      </c>
      <c r="AH242" s="92">
        <f t="shared" si="176"/>
        <v>0</v>
      </c>
    </row>
    <row r="243" spans="1:34" x14ac:dyDescent="0.3">
      <c r="A243" s="223"/>
      <c r="B243" s="4"/>
      <c r="C243" s="4" t="str">
        <f t="shared" si="165"/>
        <v>Lampada 90 piccola</v>
      </c>
      <c r="D243" s="5">
        <f t="shared" si="165"/>
        <v>5</v>
      </c>
      <c r="E243" s="5">
        <f t="shared" si="165"/>
        <v>10</v>
      </c>
      <c r="F243" s="5">
        <f t="shared" si="165"/>
        <v>1.1499999999999999</v>
      </c>
      <c r="G243" s="5">
        <f t="shared" si="165"/>
        <v>75</v>
      </c>
      <c r="H243" s="4">
        <f t="shared" si="165"/>
        <v>8.1557296000000004E-4</v>
      </c>
      <c r="I243" s="6">
        <f t="shared" si="165"/>
        <v>2.2654804444444445</v>
      </c>
      <c r="J243" s="6">
        <f t="shared" si="165"/>
        <v>2.0389324000000002</v>
      </c>
      <c r="R243" s="23">
        <v>0</v>
      </c>
      <c r="S243" s="6">
        <f t="shared" si="163"/>
        <v>0</v>
      </c>
      <c r="T243" s="6">
        <f t="shared" si="166"/>
        <v>0</v>
      </c>
      <c r="U243" s="4">
        <f t="shared" si="167"/>
        <v>0</v>
      </c>
      <c r="V243" s="115">
        <f>+S243*$M$3/'COST DATA'!$D$26</f>
        <v>0</v>
      </c>
      <c r="W243" s="16">
        <f t="shared" si="168"/>
        <v>0</v>
      </c>
      <c r="X243" s="27">
        <f t="shared" si="169"/>
        <v>0</v>
      </c>
      <c r="Y243" s="27">
        <f t="shared" si="170"/>
        <v>0</v>
      </c>
      <c r="Z243" s="4">
        <f t="shared" si="171"/>
        <v>0</v>
      </c>
      <c r="AA243" s="82">
        <f>+'Finished goods'!$O$3*'PRIVATE CUSTOMER (BtoC)'!T243</f>
        <v>0</v>
      </c>
      <c r="AB243" s="82">
        <f>+'Finished goods'!$P$11*R243</f>
        <v>0</v>
      </c>
      <c r="AC243" s="83">
        <f t="shared" si="172"/>
        <v>0</v>
      </c>
      <c r="AD243" s="93" t="e">
        <f t="shared" si="173"/>
        <v>#DIV/0!</v>
      </c>
      <c r="AE243" s="93">
        <f>+'REVENUE DATA'!$D$11</f>
        <v>200</v>
      </c>
      <c r="AF243" s="90" t="e">
        <f t="shared" si="174"/>
        <v>#DIV/0!</v>
      </c>
      <c r="AG243" s="91" t="e">
        <f t="shared" si="175"/>
        <v>#DIV/0!</v>
      </c>
      <c r="AH243" s="92">
        <f t="shared" si="176"/>
        <v>0</v>
      </c>
    </row>
    <row r="244" spans="1:34" x14ac:dyDescent="0.3">
      <c r="A244" s="223"/>
      <c r="B244" s="4"/>
      <c r="C244" s="4" t="str">
        <f t="shared" si="165"/>
        <v>Vaso Logo</v>
      </c>
      <c r="D244" s="5">
        <f t="shared" si="165"/>
        <v>5</v>
      </c>
      <c r="E244" s="5">
        <f t="shared" si="165"/>
        <v>10</v>
      </c>
      <c r="F244" s="5">
        <f t="shared" si="165"/>
        <v>0.39</v>
      </c>
      <c r="G244" s="5">
        <f t="shared" si="165"/>
        <v>39</v>
      </c>
      <c r="H244" s="4">
        <f t="shared" si="165"/>
        <v>1.1639584900000001E-3</v>
      </c>
      <c r="I244" s="6">
        <f t="shared" si="165"/>
        <v>3.2332180277777778</v>
      </c>
      <c r="J244" s="6">
        <f t="shared" si="165"/>
        <v>2.9098962250000002</v>
      </c>
      <c r="R244" s="23">
        <v>0</v>
      </c>
      <c r="S244" s="6">
        <f t="shared" si="163"/>
        <v>0</v>
      </c>
      <c r="T244" s="6">
        <f t="shared" si="166"/>
        <v>0</v>
      </c>
      <c r="U244" s="4">
        <f t="shared" si="167"/>
        <v>0</v>
      </c>
      <c r="V244" s="115">
        <f>+S244*$M$3/'COST DATA'!$D$26</f>
        <v>0</v>
      </c>
      <c r="W244" s="16">
        <f t="shared" si="168"/>
        <v>0</v>
      </c>
      <c r="X244" s="27">
        <f t="shared" si="169"/>
        <v>0</v>
      </c>
      <c r="Y244" s="27">
        <f t="shared" si="170"/>
        <v>0</v>
      </c>
      <c r="Z244" s="4">
        <f t="shared" si="171"/>
        <v>0</v>
      </c>
      <c r="AA244" s="82">
        <f>+'Finished goods'!$O$3*'PRIVATE CUSTOMER (BtoC)'!T244</f>
        <v>0</v>
      </c>
      <c r="AB244" s="82">
        <f>+'Finished goods'!$P$12*R244</f>
        <v>0</v>
      </c>
      <c r="AC244" s="83">
        <f t="shared" si="172"/>
        <v>0</v>
      </c>
      <c r="AD244" s="93" t="e">
        <f t="shared" si="173"/>
        <v>#DIV/0!</v>
      </c>
      <c r="AE244" s="93">
        <f>+'REVENUE DATA'!$D$12</f>
        <v>350</v>
      </c>
      <c r="AF244" s="90" t="e">
        <f t="shared" si="174"/>
        <v>#DIV/0!</v>
      </c>
      <c r="AG244" s="91" t="e">
        <f t="shared" si="175"/>
        <v>#DIV/0!</v>
      </c>
      <c r="AH244" s="92">
        <f t="shared" si="176"/>
        <v>0</v>
      </c>
    </row>
    <row r="245" spans="1:34" x14ac:dyDescent="0.3">
      <c r="A245" s="223"/>
      <c r="B245" s="4"/>
      <c r="C245" s="4" t="str">
        <f t="shared" si="165"/>
        <v>Copri candela</v>
      </c>
      <c r="D245" s="5">
        <f t="shared" si="165"/>
        <v>4</v>
      </c>
      <c r="E245" s="5">
        <f t="shared" si="165"/>
        <v>5</v>
      </c>
      <c r="F245" s="5">
        <f t="shared" si="165"/>
        <v>0.34</v>
      </c>
      <c r="G245" s="5">
        <f t="shared" si="165"/>
        <v>34</v>
      </c>
      <c r="H245" s="4">
        <f t="shared" si="165"/>
        <v>2.3780405299999999E-4</v>
      </c>
      <c r="I245" s="6">
        <f t="shared" si="165"/>
        <v>0.66056681388888883</v>
      </c>
      <c r="J245" s="6">
        <f t="shared" si="165"/>
        <v>0.59451013249999995</v>
      </c>
      <c r="R245" s="23">
        <v>0</v>
      </c>
      <c r="S245" s="6">
        <f t="shared" si="163"/>
        <v>0</v>
      </c>
      <c r="T245" s="6">
        <f t="shared" si="166"/>
        <v>0</v>
      </c>
      <c r="U245" s="4">
        <f t="shared" si="167"/>
        <v>0</v>
      </c>
      <c r="V245" s="115">
        <f>+S245*$M$3/'COST DATA'!$D$26</f>
        <v>0</v>
      </c>
      <c r="W245" s="16">
        <f t="shared" si="168"/>
        <v>0</v>
      </c>
      <c r="X245" s="27">
        <f t="shared" si="169"/>
        <v>0</v>
      </c>
      <c r="Y245" s="27">
        <f t="shared" si="170"/>
        <v>0</v>
      </c>
      <c r="Z245" s="4">
        <f t="shared" si="171"/>
        <v>0</v>
      </c>
      <c r="AA245" s="82">
        <f>+'Finished goods'!$O$3*'PRIVATE CUSTOMER (BtoC)'!T245</f>
        <v>0</v>
      </c>
      <c r="AB245" s="82">
        <f>+'Finished goods'!$P$13*R245</f>
        <v>0</v>
      </c>
      <c r="AC245" s="83">
        <f t="shared" si="172"/>
        <v>0</v>
      </c>
      <c r="AD245" s="93" t="e">
        <f t="shared" si="173"/>
        <v>#DIV/0!</v>
      </c>
      <c r="AE245" s="93">
        <f>+'REVENUE DATA'!$D$13</f>
        <v>75</v>
      </c>
      <c r="AF245" s="90" t="e">
        <f t="shared" si="174"/>
        <v>#DIV/0!</v>
      </c>
      <c r="AG245" s="91" t="e">
        <f t="shared" si="175"/>
        <v>#DIV/0!</v>
      </c>
      <c r="AH245" s="92">
        <f t="shared" si="176"/>
        <v>0</v>
      </c>
    </row>
    <row r="246" spans="1:34" x14ac:dyDescent="0.3">
      <c r="A246" s="223"/>
      <c r="B246" s="4"/>
      <c r="C246" s="4" t="str">
        <f t="shared" si="165"/>
        <v xml:space="preserve">Vaso Grosso </v>
      </c>
      <c r="D246" s="5">
        <f t="shared" si="165"/>
        <v>4</v>
      </c>
      <c r="E246" s="5">
        <f t="shared" si="165"/>
        <v>5</v>
      </c>
      <c r="F246" s="5">
        <f t="shared" si="165"/>
        <v>1.31</v>
      </c>
      <c r="G246" s="5">
        <f t="shared" si="165"/>
        <v>91</v>
      </c>
      <c r="H246" s="4">
        <f t="shared" si="165"/>
        <v>9.52764444E-4</v>
      </c>
      <c r="I246" s="6">
        <f t="shared" si="165"/>
        <v>2.6465679</v>
      </c>
      <c r="J246" s="6">
        <f t="shared" si="165"/>
        <v>2.3819111099999999</v>
      </c>
      <c r="R246" s="23">
        <v>0</v>
      </c>
      <c r="S246" s="6">
        <f t="shared" si="163"/>
        <v>0</v>
      </c>
      <c r="T246" s="6">
        <f t="shared" si="166"/>
        <v>0</v>
      </c>
      <c r="U246" s="4">
        <f t="shared" si="167"/>
        <v>0</v>
      </c>
      <c r="V246" s="115">
        <f>+S246*$M$3/'COST DATA'!$D$26</f>
        <v>0</v>
      </c>
      <c r="W246" s="16">
        <f t="shared" si="168"/>
        <v>0</v>
      </c>
      <c r="X246" s="27">
        <f t="shared" si="169"/>
        <v>0</v>
      </c>
      <c r="Y246" s="27">
        <f t="shared" si="170"/>
        <v>0</v>
      </c>
      <c r="Z246" s="4">
        <f t="shared" si="171"/>
        <v>0</v>
      </c>
      <c r="AA246" s="82">
        <f>+'Finished goods'!$O$3*'PRIVATE CUSTOMER (BtoC)'!T246</f>
        <v>0</v>
      </c>
      <c r="AB246" s="82">
        <f>+'Finished goods'!$P$14*R246</f>
        <v>0</v>
      </c>
      <c r="AC246" s="83">
        <f t="shared" si="172"/>
        <v>0</v>
      </c>
      <c r="AD246" s="93" t="e">
        <f t="shared" si="173"/>
        <v>#DIV/0!</v>
      </c>
      <c r="AE246" s="93">
        <f>+'REVENUE DATA'!$D$14</f>
        <v>250</v>
      </c>
      <c r="AF246" s="90" t="e">
        <f t="shared" si="174"/>
        <v>#DIV/0!</v>
      </c>
      <c r="AG246" s="91" t="e">
        <f t="shared" si="175"/>
        <v>#DIV/0!</v>
      </c>
      <c r="AH246" s="92">
        <f t="shared" si="176"/>
        <v>0</v>
      </c>
    </row>
    <row r="247" spans="1:34" x14ac:dyDescent="0.3">
      <c r="A247" s="223"/>
      <c r="B247" s="4"/>
      <c r="C247" s="4" t="str">
        <f t="shared" si="165"/>
        <v>Bicchiere curve dritto</v>
      </c>
      <c r="D247" s="5">
        <f t="shared" si="165"/>
        <v>2</v>
      </c>
      <c r="E247" s="5">
        <f t="shared" si="165"/>
        <v>2</v>
      </c>
      <c r="F247" s="5">
        <f t="shared" si="165"/>
        <v>0.26</v>
      </c>
      <c r="G247" s="5">
        <f t="shared" si="165"/>
        <v>26</v>
      </c>
      <c r="H247" s="4">
        <f t="shared" si="165"/>
        <v>1.6928511099999999E-4</v>
      </c>
      <c r="I247" s="6">
        <f t="shared" si="165"/>
        <v>0.47023641944444439</v>
      </c>
      <c r="J247" s="6">
        <f t="shared" si="165"/>
        <v>0.42321277749999997</v>
      </c>
      <c r="R247" s="23">
        <v>0</v>
      </c>
      <c r="S247" s="6">
        <f t="shared" si="163"/>
        <v>0</v>
      </c>
      <c r="T247" s="6">
        <f t="shared" si="166"/>
        <v>0</v>
      </c>
      <c r="U247" s="4">
        <f t="shared" si="167"/>
        <v>0</v>
      </c>
      <c r="V247" s="115">
        <f>+S247*$M$3/'COST DATA'!$D$26</f>
        <v>0</v>
      </c>
      <c r="W247" s="16">
        <f t="shared" si="168"/>
        <v>0</v>
      </c>
      <c r="X247" s="27">
        <f t="shared" si="169"/>
        <v>0</v>
      </c>
      <c r="Y247" s="27">
        <f t="shared" si="170"/>
        <v>0</v>
      </c>
      <c r="Z247" s="4">
        <f t="shared" si="171"/>
        <v>0</v>
      </c>
      <c r="AA247" s="82">
        <f>+'Finished goods'!$O$3*'PRIVATE CUSTOMER (BtoC)'!T247</f>
        <v>0</v>
      </c>
      <c r="AB247" s="82">
        <f>+'Finished goods'!$P$15*R247</f>
        <v>0</v>
      </c>
      <c r="AC247" s="83">
        <f t="shared" si="172"/>
        <v>0</v>
      </c>
      <c r="AD247" s="93" t="e">
        <f t="shared" si="173"/>
        <v>#DIV/0!</v>
      </c>
      <c r="AE247" s="93">
        <f>+'REVENUE DATA'!$D$15</f>
        <v>0</v>
      </c>
      <c r="AF247" s="90" t="e">
        <f t="shared" si="174"/>
        <v>#DIV/0!</v>
      </c>
      <c r="AG247" s="91" t="e">
        <f t="shared" si="175"/>
        <v>#DIV/0!</v>
      </c>
      <c r="AH247" s="92">
        <f t="shared" si="176"/>
        <v>0</v>
      </c>
    </row>
    <row r="248" spans="1:34" x14ac:dyDescent="0.3">
      <c r="A248" s="223"/>
      <c r="B248" s="4"/>
      <c r="C248" s="4" t="str">
        <f t="shared" si="165"/>
        <v>Bicchiere curve twist</v>
      </c>
      <c r="D248" s="5">
        <f t="shared" si="165"/>
        <v>2</v>
      </c>
      <c r="E248" s="5">
        <f t="shared" si="165"/>
        <v>2</v>
      </c>
      <c r="F248" s="5">
        <f t="shared" si="165"/>
        <v>0.25</v>
      </c>
      <c r="G248" s="5">
        <f t="shared" si="165"/>
        <v>25</v>
      </c>
      <c r="H248" s="4">
        <f t="shared" si="165"/>
        <v>1.69285896E-4</v>
      </c>
      <c r="I248" s="6">
        <f t="shared" si="165"/>
        <v>0.47023859999999995</v>
      </c>
      <c r="J248" s="6">
        <f t="shared" si="165"/>
        <v>0.42321473999999998</v>
      </c>
      <c r="R248" s="23">
        <v>0</v>
      </c>
      <c r="S248" s="6">
        <f t="shared" si="163"/>
        <v>0</v>
      </c>
      <c r="T248" s="6">
        <f t="shared" si="166"/>
        <v>0</v>
      </c>
      <c r="U248" s="4">
        <f t="shared" si="167"/>
        <v>0</v>
      </c>
      <c r="V248" s="115">
        <f>+S248*$M$3/'COST DATA'!$D$26</f>
        <v>0</v>
      </c>
      <c r="W248" s="16">
        <f t="shared" si="168"/>
        <v>0</v>
      </c>
      <c r="X248" s="27">
        <f t="shared" si="169"/>
        <v>0</v>
      </c>
      <c r="Y248" s="27">
        <f t="shared" si="170"/>
        <v>0</v>
      </c>
      <c r="Z248" s="4">
        <f t="shared" si="171"/>
        <v>0</v>
      </c>
      <c r="AA248" s="82">
        <f>+'Finished goods'!$O$3*'PRIVATE CUSTOMER (BtoC)'!T248</f>
        <v>0</v>
      </c>
      <c r="AB248" s="82">
        <f>+'Finished goods'!$P$16*R248</f>
        <v>0</v>
      </c>
      <c r="AC248" s="83">
        <f t="shared" si="172"/>
        <v>0</v>
      </c>
      <c r="AD248" s="93" t="e">
        <f t="shared" si="173"/>
        <v>#DIV/0!</v>
      </c>
      <c r="AE248" s="93">
        <f>+'REVENUE DATA'!$D$16</f>
        <v>0</v>
      </c>
      <c r="AF248" s="90" t="e">
        <f t="shared" si="174"/>
        <v>#DIV/0!</v>
      </c>
      <c r="AG248" s="91" t="e">
        <f t="shared" si="175"/>
        <v>#DIV/0!</v>
      </c>
      <c r="AH248" s="92">
        <f t="shared" si="176"/>
        <v>0</v>
      </c>
    </row>
    <row r="249" spans="1:34" x14ac:dyDescent="0.3">
      <c r="A249" s="223"/>
      <c r="B249" s="4"/>
      <c r="C249" s="4" t="str">
        <f t="shared" si="165"/>
        <v>Caraffa curva</v>
      </c>
      <c r="D249" s="5">
        <f t="shared" si="165"/>
        <v>2</v>
      </c>
      <c r="E249" s="5">
        <f t="shared" si="165"/>
        <v>2</v>
      </c>
      <c r="F249" s="5">
        <f t="shared" si="165"/>
        <v>0.56999999999999995</v>
      </c>
      <c r="G249" s="5">
        <f t="shared" si="165"/>
        <v>57</v>
      </c>
      <c r="H249" s="4">
        <f t="shared" si="165"/>
        <v>3.69342133E-4</v>
      </c>
      <c r="I249" s="6">
        <f t="shared" si="165"/>
        <v>1.0259503694444445</v>
      </c>
      <c r="J249" s="6">
        <f t="shared" si="165"/>
        <v>0.92335533250000001</v>
      </c>
      <c r="R249" s="23">
        <v>0</v>
      </c>
      <c r="S249" s="6">
        <f t="shared" si="163"/>
        <v>0</v>
      </c>
      <c r="T249" s="6">
        <f t="shared" si="166"/>
        <v>0</v>
      </c>
      <c r="U249" s="4">
        <f t="shared" si="167"/>
        <v>0</v>
      </c>
      <c r="V249" s="115">
        <f>+S249*$M$3/'COST DATA'!$D$26</f>
        <v>0</v>
      </c>
      <c r="W249" s="16">
        <f>+U249*$N$3</f>
        <v>0</v>
      </c>
      <c r="X249" s="27">
        <f t="shared" si="169"/>
        <v>0</v>
      </c>
      <c r="Y249" s="27">
        <f t="shared" si="170"/>
        <v>0</v>
      </c>
      <c r="Z249" s="4">
        <f t="shared" si="171"/>
        <v>0</v>
      </c>
      <c r="AA249" s="82">
        <f>+'Finished goods'!$O$3*'PRIVATE CUSTOMER (BtoC)'!T249</f>
        <v>0</v>
      </c>
      <c r="AB249" s="82">
        <f>+'Finished goods'!$P$17*R249</f>
        <v>0</v>
      </c>
      <c r="AC249" s="83">
        <f t="shared" si="172"/>
        <v>0</v>
      </c>
      <c r="AD249" s="93" t="e">
        <f t="shared" si="173"/>
        <v>#DIV/0!</v>
      </c>
      <c r="AE249" s="93">
        <f>+'REVENUE DATA'!$D$17</f>
        <v>30</v>
      </c>
      <c r="AF249" s="90" t="e">
        <f t="shared" si="174"/>
        <v>#DIV/0!</v>
      </c>
      <c r="AG249" s="91" t="e">
        <f t="shared" si="175"/>
        <v>#DIV/0!</v>
      </c>
      <c r="AH249" s="92">
        <f t="shared" si="176"/>
        <v>0</v>
      </c>
    </row>
    <row r="250" spans="1:34" x14ac:dyDescent="0.3">
      <c r="A250" s="223"/>
      <c r="B250" s="4"/>
      <c r="C250" s="4" t="str">
        <f t="shared" si="165"/>
        <v>Caraffa colonna dritta</v>
      </c>
      <c r="D250" s="5">
        <f t="shared" si="165"/>
        <v>2</v>
      </c>
      <c r="E250" s="5">
        <f t="shared" si="165"/>
        <v>1</v>
      </c>
      <c r="F250" s="5">
        <f t="shared" si="165"/>
        <v>1.4</v>
      </c>
      <c r="G250" s="5">
        <f t="shared" si="165"/>
        <v>100</v>
      </c>
      <c r="H250" s="4">
        <f t="shared" si="165"/>
        <v>3.2796365999999998E-4</v>
      </c>
      <c r="I250" s="6">
        <f t="shared" si="165"/>
        <v>0.91101016666666657</v>
      </c>
      <c r="J250" s="6">
        <f t="shared" si="165"/>
        <v>0.81990914999999998</v>
      </c>
      <c r="R250" s="23">
        <v>0</v>
      </c>
      <c r="S250" s="6">
        <f t="shared" si="163"/>
        <v>0</v>
      </c>
      <c r="T250" s="6">
        <f t="shared" si="166"/>
        <v>0</v>
      </c>
      <c r="U250" s="4">
        <f t="shared" si="167"/>
        <v>0</v>
      </c>
      <c r="V250" s="115">
        <f>+S250*$M$3/'COST DATA'!$D$26</f>
        <v>0</v>
      </c>
      <c r="W250" s="16">
        <f t="shared" ref="W250:W259" si="177">+U250*$N$3</f>
        <v>0</v>
      </c>
      <c r="X250" s="27">
        <f t="shared" si="169"/>
        <v>0</v>
      </c>
      <c r="Y250" s="27">
        <f t="shared" si="170"/>
        <v>0</v>
      </c>
      <c r="Z250" s="4">
        <f t="shared" si="171"/>
        <v>0</v>
      </c>
      <c r="AA250" s="82">
        <f>+'Finished goods'!$O$3*'PRIVATE CUSTOMER (BtoC)'!T250</f>
        <v>0</v>
      </c>
      <c r="AB250" s="82">
        <f>+'Finished goods'!$P$18*R250</f>
        <v>0</v>
      </c>
      <c r="AC250" s="83">
        <f t="shared" si="172"/>
        <v>0</v>
      </c>
      <c r="AD250" s="93" t="e">
        <f t="shared" si="173"/>
        <v>#DIV/0!</v>
      </c>
      <c r="AE250" s="93">
        <f>+'REVENUE DATA'!$D$18</f>
        <v>30</v>
      </c>
      <c r="AF250" s="90" t="e">
        <f t="shared" si="174"/>
        <v>#DIV/0!</v>
      </c>
      <c r="AG250" s="91" t="e">
        <f t="shared" si="175"/>
        <v>#DIV/0!</v>
      </c>
      <c r="AH250" s="92">
        <f t="shared" si="176"/>
        <v>0</v>
      </c>
    </row>
    <row r="251" spans="1:34" x14ac:dyDescent="0.3">
      <c r="A251" s="223"/>
      <c r="B251" s="4"/>
      <c r="C251" s="4" t="str">
        <f t="shared" si="165"/>
        <v>Caraffa colonna twist1</v>
      </c>
      <c r="D251" s="5">
        <f t="shared" si="165"/>
        <v>2</v>
      </c>
      <c r="E251" s="5">
        <f t="shared" si="165"/>
        <v>1</v>
      </c>
      <c r="F251" s="5">
        <f t="shared" si="165"/>
        <v>1.41</v>
      </c>
      <c r="G251" s="5">
        <f t="shared" si="165"/>
        <v>101</v>
      </c>
      <c r="H251" s="4">
        <f t="shared" si="165"/>
        <v>3.323221E-4</v>
      </c>
      <c r="I251" s="6">
        <f t="shared" si="165"/>
        <v>0.92311694444444448</v>
      </c>
      <c r="J251" s="6">
        <f t="shared" si="165"/>
        <v>0.83080525000000005</v>
      </c>
      <c r="R251" s="23">
        <v>0</v>
      </c>
      <c r="S251" s="6">
        <f t="shared" si="163"/>
        <v>0</v>
      </c>
      <c r="T251" s="6">
        <f t="shared" si="166"/>
        <v>0</v>
      </c>
      <c r="U251" s="4">
        <f t="shared" si="167"/>
        <v>0</v>
      </c>
      <c r="V251" s="115">
        <f>+S251*$M$3/'COST DATA'!$D$26</f>
        <v>0</v>
      </c>
      <c r="W251" s="16">
        <f t="shared" si="177"/>
        <v>0</v>
      </c>
      <c r="X251" s="27">
        <f t="shared" si="169"/>
        <v>0</v>
      </c>
      <c r="Y251" s="27">
        <f t="shared" si="170"/>
        <v>0</v>
      </c>
      <c r="Z251" s="4">
        <f t="shared" si="171"/>
        <v>0</v>
      </c>
      <c r="AA251" s="82">
        <f>+'Finished goods'!$O$3*'PRIVATE CUSTOMER (BtoC)'!T251</f>
        <v>0</v>
      </c>
      <c r="AB251" s="82">
        <f>+'Finished goods'!$P$19*R251</f>
        <v>0</v>
      </c>
      <c r="AC251" s="83">
        <f t="shared" si="172"/>
        <v>0</v>
      </c>
      <c r="AD251" s="93" t="e">
        <f t="shared" si="173"/>
        <v>#DIV/0!</v>
      </c>
      <c r="AE251" s="93">
        <f>+'REVENUE DATA'!$D$19</f>
        <v>30</v>
      </c>
      <c r="AF251" s="90" t="e">
        <f t="shared" si="174"/>
        <v>#DIV/0!</v>
      </c>
      <c r="AG251" s="91" t="e">
        <f t="shared" si="175"/>
        <v>#DIV/0!</v>
      </c>
      <c r="AH251" s="92">
        <f t="shared" si="176"/>
        <v>0</v>
      </c>
    </row>
    <row r="252" spans="1:34" x14ac:dyDescent="0.3">
      <c r="A252" s="223"/>
      <c r="B252" s="4"/>
      <c r="C252" s="4" t="str">
        <f t="shared" si="165"/>
        <v>Caraffa colonna twist2</v>
      </c>
      <c r="D252" s="5">
        <f t="shared" si="165"/>
        <v>2</v>
      </c>
      <c r="E252" s="5">
        <f t="shared" si="165"/>
        <v>1</v>
      </c>
      <c r="F252" s="5">
        <f t="shared" si="165"/>
        <v>1.45</v>
      </c>
      <c r="G252" s="5">
        <f t="shared" si="165"/>
        <v>105</v>
      </c>
      <c r="H252" s="4">
        <f t="shared" si="165"/>
        <v>3.4271101000000001E-4</v>
      </c>
      <c r="I252" s="6">
        <f t="shared" si="165"/>
        <v>0.95197502777777776</v>
      </c>
      <c r="J252" s="6">
        <f t="shared" si="165"/>
        <v>0.85677752500000004</v>
      </c>
      <c r="R252" s="23">
        <v>0</v>
      </c>
      <c r="S252" s="6">
        <f t="shared" si="163"/>
        <v>0</v>
      </c>
      <c r="T252" s="6">
        <f t="shared" si="166"/>
        <v>0</v>
      </c>
      <c r="U252" s="4">
        <f t="shared" si="167"/>
        <v>0</v>
      </c>
      <c r="V252" s="115">
        <f>+S252*$M$3/'COST DATA'!$D$26</f>
        <v>0</v>
      </c>
      <c r="W252" s="16">
        <f t="shared" si="177"/>
        <v>0</v>
      </c>
      <c r="X252" s="27">
        <f t="shared" si="169"/>
        <v>0</v>
      </c>
      <c r="Y252" s="27">
        <f t="shared" si="170"/>
        <v>0</v>
      </c>
      <c r="Z252" s="4">
        <f t="shared" si="171"/>
        <v>0</v>
      </c>
      <c r="AA252" s="82">
        <f>+'Finished goods'!$O$3*'PRIVATE CUSTOMER (BtoC)'!T252</f>
        <v>0</v>
      </c>
      <c r="AB252" s="82">
        <f>+'Finished goods'!$P$20*R252</f>
        <v>0</v>
      </c>
      <c r="AC252" s="83">
        <f t="shared" si="172"/>
        <v>0</v>
      </c>
      <c r="AD252" s="93" t="e">
        <f t="shared" si="173"/>
        <v>#DIV/0!</v>
      </c>
      <c r="AE252" s="93">
        <f>+'REVENUE DATA'!$D$20</f>
        <v>30</v>
      </c>
      <c r="AF252" s="90" t="e">
        <f t="shared" si="174"/>
        <v>#DIV/0!</v>
      </c>
      <c r="AG252" s="91" t="e">
        <f t="shared" si="175"/>
        <v>#DIV/0!</v>
      </c>
      <c r="AH252" s="92">
        <f t="shared" si="176"/>
        <v>0</v>
      </c>
    </row>
    <row r="253" spans="1:34" x14ac:dyDescent="0.3">
      <c r="A253" s="223"/>
      <c r="B253" s="4"/>
      <c r="C253" s="4" t="str">
        <f t="shared" si="165"/>
        <v>Caraffa colonna twist3</v>
      </c>
      <c r="D253" s="5">
        <f t="shared" si="165"/>
        <v>2</v>
      </c>
      <c r="E253" s="5">
        <f t="shared" si="165"/>
        <v>1</v>
      </c>
      <c r="F253" s="5">
        <f t="shared" si="165"/>
        <v>1.42</v>
      </c>
      <c r="G253" s="5">
        <f t="shared" si="165"/>
        <v>102</v>
      </c>
      <c r="H253" s="4">
        <f t="shared" si="165"/>
        <v>3.3727121999999998E-4</v>
      </c>
      <c r="I253" s="6">
        <f t="shared" si="165"/>
        <v>0.93686449999999988</v>
      </c>
      <c r="J253" s="6">
        <f t="shared" si="165"/>
        <v>0.8431780499999999</v>
      </c>
      <c r="R253" s="23">
        <v>0</v>
      </c>
      <c r="S253" s="6">
        <f t="shared" si="163"/>
        <v>0</v>
      </c>
      <c r="T253" s="6">
        <f t="shared" si="166"/>
        <v>0</v>
      </c>
      <c r="U253" s="4">
        <f t="shared" si="167"/>
        <v>0</v>
      </c>
      <c r="V253" s="115">
        <f>+S253*$M$3/'COST DATA'!$D$26</f>
        <v>0</v>
      </c>
      <c r="W253" s="16">
        <f t="shared" si="177"/>
        <v>0</v>
      </c>
      <c r="X253" s="27">
        <f t="shared" si="169"/>
        <v>0</v>
      </c>
      <c r="Y253" s="27">
        <f t="shared" si="170"/>
        <v>0</v>
      </c>
      <c r="Z253" s="4">
        <f t="shared" si="171"/>
        <v>0</v>
      </c>
      <c r="AA253" s="82">
        <f>+'Finished goods'!$O$3*'PRIVATE CUSTOMER (BtoC)'!T253</f>
        <v>0</v>
      </c>
      <c r="AB253" s="82">
        <f>+'Finished goods'!$P$21*R253</f>
        <v>0</v>
      </c>
      <c r="AC253" s="83">
        <f t="shared" si="172"/>
        <v>0</v>
      </c>
      <c r="AD253" s="93" t="e">
        <f t="shared" si="173"/>
        <v>#DIV/0!</v>
      </c>
      <c r="AE253" s="93">
        <f>+'REVENUE DATA'!$D$21</f>
        <v>30</v>
      </c>
      <c r="AF253" s="90" t="e">
        <f t="shared" si="174"/>
        <v>#DIV/0!</v>
      </c>
      <c r="AG253" s="91" t="e">
        <f t="shared" si="175"/>
        <v>#DIV/0!</v>
      </c>
      <c r="AH253" s="92">
        <f t="shared" si="176"/>
        <v>0</v>
      </c>
    </row>
    <row r="254" spans="1:34" x14ac:dyDescent="0.3">
      <c r="A254" s="223"/>
      <c r="B254" s="4"/>
      <c r="C254" s="4" t="str">
        <f t="shared" si="165"/>
        <v>Bicchiere colonna twist1</v>
      </c>
      <c r="D254" s="5">
        <f t="shared" si="165"/>
        <v>1</v>
      </c>
      <c r="E254" s="5">
        <f t="shared" si="165"/>
        <v>1</v>
      </c>
      <c r="F254" s="5">
        <f t="shared" si="165"/>
        <v>0.57999999999999996</v>
      </c>
      <c r="G254" s="5">
        <f t="shared" si="165"/>
        <v>58</v>
      </c>
      <c r="H254" s="4">
        <f t="shared" si="165"/>
        <v>9.7981700000000004E-5</v>
      </c>
      <c r="I254" s="6">
        <f t="shared" si="165"/>
        <v>0.27217138888888892</v>
      </c>
      <c r="J254" s="6">
        <f t="shared" si="165"/>
        <v>0.24495425000000001</v>
      </c>
      <c r="R254" s="23">
        <v>0</v>
      </c>
      <c r="S254" s="6">
        <f t="shared" si="163"/>
        <v>0</v>
      </c>
      <c r="T254" s="6">
        <f t="shared" si="166"/>
        <v>0</v>
      </c>
      <c r="U254" s="4">
        <f t="shared" si="167"/>
        <v>0</v>
      </c>
      <c r="V254" s="115">
        <f>+S254*$M$3/'COST DATA'!$D$26</f>
        <v>0</v>
      </c>
      <c r="W254" s="16">
        <f t="shared" si="177"/>
        <v>0</v>
      </c>
      <c r="X254" s="27">
        <f t="shared" si="169"/>
        <v>0</v>
      </c>
      <c r="Y254" s="27">
        <f t="shared" si="170"/>
        <v>0</v>
      </c>
      <c r="Z254" s="4">
        <f t="shared" si="171"/>
        <v>0</v>
      </c>
      <c r="AA254" s="82">
        <f>+'Finished goods'!$O$3*'PRIVATE CUSTOMER (BtoC)'!T254</f>
        <v>0</v>
      </c>
      <c r="AB254" s="82">
        <f>+'Finished goods'!$P$22*R254</f>
        <v>0</v>
      </c>
      <c r="AC254" s="83">
        <f t="shared" si="172"/>
        <v>0</v>
      </c>
      <c r="AD254" s="93" t="e">
        <f t="shared" si="173"/>
        <v>#DIV/0!</v>
      </c>
      <c r="AE254" s="93">
        <f>+'REVENUE DATA'!$D$22</f>
        <v>0</v>
      </c>
      <c r="AF254" s="90" t="e">
        <f t="shared" si="174"/>
        <v>#DIV/0!</v>
      </c>
      <c r="AG254" s="91" t="e">
        <f t="shared" si="175"/>
        <v>#DIV/0!</v>
      </c>
      <c r="AH254" s="92">
        <f t="shared" si="176"/>
        <v>0</v>
      </c>
    </row>
    <row r="255" spans="1:34" x14ac:dyDescent="0.3">
      <c r="A255" s="223"/>
      <c r="B255" s="4"/>
      <c r="C255" s="4" t="str">
        <f t="shared" si="165"/>
        <v>Bicchiere colonna twist2</v>
      </c>
      <c r="D255" s="5">
        <f t="shared" si="165"/>
        <v>1</v>
      </c>
      <c r="E255" s="5">
        <f t="shared" si="165"/>
        <v>1</v>
      </c>
      <c r="F255" s="5">
        <f t="shared" si="165"/>
        <v>0.59</v>
      </c>
      <c r="G255" s="5">
        <f t="shared" si="165"/>
        <v>59</v>
      </c>
      <c r="H255" s="4">
        <f t="shared" si="165"/>
        <v>9.7982366999999995E-5</v>
      </c>
      <c r="I255" s="6">
        <f t="shared" si="165"/>
        <v>0.27217324166666662</v>
      </c>
      <c r="J255" s="6">
        <f t="shared" si="165"/>
        <v>0.24495591749999998</v>
      </c>
      <c r="R255" s="23">
        <v>0</v>
      </c>
      <c r="S255" s="6">
        <f t="shared" si="163"/>
        <v>0</v>
      </c>
      <c r="T255" s="6">
        <f t="shared" si="166"/>
        <v>0</v>
      </c>
      <c r="U255" s="4">
        <f t="shared" si="167"/>
        <v>0</v>
      </c>
      <c r="V255" s="115">
        <f>+S255*$M$3/'COST DATA'!$D$26</f>
        <v>0</v>
      </c>
      <c r="W255" s="16">
        <f t="shared" si="177"/>
        <v>0</v>
      </c>
      <c r="X255" s="27">
        <f t="shared" si="169"/>
        <v>0</v>
      </c>
      <c r="Y255" s="27">
        <f t="shared" si="170"/>
        <v>0</v>
      </c>
      <c r="Z255" s="4">
        <f t="shared" si="171"/>
        <v>0</v>
      </c>
      <c r="AA255" s="82">
        <f>+'Finished goods'!$O$3*'PRIVATE CUSTOMER (BtoC)'!T255</f>
        <v>0</v>
      </c>
      <c r="AB255" s="82">
        <f>+'Finished goods'!$P$23*R255</f>
        <v>0</v>
      </c>
      <c r="AC255" s="83">
        <f t="shared" si="172"/>
        <v>0</v>
      </c>
      <c r="AD255" s="93" t="e">
        <f t="shared" si="173"/>
        <v>#DIV/0!</v>
      </c>
      <c r="AE255" s="93">
        <f>+'REVENUE DATA'!$D$23</f>
        <v>0</v>
      </c>
      <c r="AF255" s="90" t="e">
        <f t="shared" si="174"/>
        <v>#DIV/0!</v>
      </c>
      <c r="AG255" s="91" t="e">
        <f t="shared" si="175"/>
        <v>#DIV/0!</v>
      </c>
      <c r="AH255" s="92">
        <f t="shared" si="176"/>
        <v>0</v>
      </c>
    </row>
    <row r="256" spans="1:34" x14ac:dyDescent="0.3">
      <c r="A256" s="223"/>
      <c r="B256" s="4"/>
      <c r="C256" s="4" t="str">
        <f t="shared" si="165"/>
        <v>Bicchiere colonna twist3</v>
      </c>
      <c r="D256" s="5">
        <f t="shared" si="165"/>
        <v>1</v>
      </c>
      <c r="E256" s="5">
        <f t="shared" si="165"/>
        <v>1</v>
      </c>
      <c r="F256" s="5">
        <f t="shared" si="165"/>
        <v>0.59</v>
      </c>
      <c r="G256" s="5">
        <f t="shared" si="165"/>
        <v>59</v>
      </c>
      <c r="H256" s="4">
        <f t="shared" si="165"/>
        <v>9.7984652999999995E-5</v>
      </c>
      <c r="I256" s="6">
        <f t="shared" si="165"/>
        <v>0.27217959166666666</v>
      </c>
      <c r="J256" s="6">
        <f t="shared" si="165"/>
        <v>0.2449616325</v>
      </c>
      <c r="R256" s="23">
        <v>0</v>
      </c>
      <c r="S256" s="6">
        <f t="shared" si="163"/>
        <v>0</v>
      </c>
      <c r="T256" s="6">
        <f t="shared" si="166"/>
        <v>0</v>
      </c>
      <c r="U256" s="4">
        <f t="shared" si="167"/>
        <v>0</v>
      </c>
      <c r="V256" s="115">
        <f>+S256*$M$3/'COST DATA'!$D$26</f>
        <v>0</v>
      </c>
      <c r="W256" s="16">
        <f t="shared" si="177"/>
        <v>0</v>
      </c>
      <c r="X256" s="27">
        <f t="shared" si="169"/>
        <v>0</v>
      </c>
      <c r="Y256" s="27">
        <f t="shared" si="170"/>
        <v>0</v>
      </c>
      <c r="Z256" s="4">
        <f t="shared" si="171"/>
        <v>0</v>
      </c>
      <c r="AA256" s="82">
        <f>+'Finished goods'!$O$3*'PRIVATE CUSTOMER (BtoC)'!T256</f>
        <v>0</v>
      </c>
      <c r="AB256" s="82">
        <f>+'Finished goods'!$P$24*R256</f>
        <v>0</v>
      </c>
      <c r="AC256" s="83">
        <f t="shared" si="172"/>
        <v>0</v>
      </c>
      <c r="AD256" s="93" t="e">
        <f t="shared" si="173"/>
        <v>#DIV/0!</v>
      </c>
      <c r="AE256" s="93">
        <f>+'REVENUE DATA'!$D$24</f>
        <v>0</v>
      </c>
      <c r="AF256" s="90" t="e">
        <f t="shared" si="174"/>
        <v>#DIV/0!</v>
      </c>
      <c r="AG256" s="91" t="e">
        <f t="shared" si="175"/>
        <v>#DIV/0!</v>
      </c>
      <c r="AH256" s="92">
        <f t="shared" si="176"/>
        <v>0</v>
      </c>
    </row>
    <row r="257" spans="1:34" x14ac:dyDescent="0.3">
      <c r="A257" s="223"/>
      <c r="B257" s="4"/>
      <c r="C257" s="4" t="str">
        <f t="shared" si="165"/>
        <v>Bicchiere colonna twist alto</v>
      </c>
      <c r="D257" s="5">
        <f t="shared" si="165"/>
        <v>1</v>
      </c>
      <c r="E257" s="5">
        <f t="shared" si="165"/>
        <v>1</v>
      </c>
      <c r="F257" s="5">
        <f t="shared" si="165"/>
        <v>0.57999999999999996</v>
      </c>
      <c r="G257" s="5">
        <f t="shared" si="165"/>
        <v>58</v>
      </c>
      <c r="H257" s="4">
        <f t="shared" si="165"/>
        <v>9.4065272999999995E-5</v>
      </c>
      <c r="I257" s="6">
        <f t="shared" si="165"/>
        <v>0.26129242499999999</v>
      </c>
      <c r="J257" s="6">
        <f t="shared" si="165"/>
        <v>0.23516318249999998</v>
      </c>
      <c r="R257" s="23">
        <v>0</v>
      </c>
      <c r="S257" s="6">
        <f t="shared" si="163"/>
        <v>0</v>
      </c>
      <c r="T257" s="6">
        <f t="shared" si="166"/>
        <v>0</v>
      </c>
      <c r="U257" s="4">
        <f t="shared" si="167"/>
        <v>0</v>
      </c>
      <c r="V257" s="115">
        <f>+S257*$M$3/'COST DATA'!$D$26</f>
        <v>0</v>
      </c>
      <c r="W257" s="16">
        <f t="shared" si="177"/>
        <v>0</v>
      </c>
      <c r="X257" s="27">
        <f t="shared" si="169"/>
        <v>0</v>
      </c>
      <c r="Y257" s="27">
        <f t="shared" si="170"/>
        <v>0</v>
      </c>
      <c r="Z257" s="4">
        <f t="shared" si="171"/>
        <v>0</v>
      </c>
      <c r="AA257" s="82">
        <f>+'Finished goods'!$O$3*'PRIVATE CUSTOMER (BtoC)'!T257</f>
        <v>0</v>
      </c>
      <c r="AB257" s="82">
        <f>+'Finished goods'!$P$25*R257</f>
        <v>0</v>
      </c>
      <c r="AC257" s="83">
        <f t="shared" si="172"/>
        <v>0</v>
      </c>
      <c r="AD257" s="93" t="e">
        <f t="shared" si="173"/>
        <v>#DIV/0!</v>
      </c>
      <c r="AE257" s="93">
        <f>+'REVENUE DATA'!$D$25</f>
        <v>0</v>
      </c>
      <c r="AF257" s="90" t="e">
        <f t="shared" si="174"/>
        <v>#DIV/0!</v>
      </c>
      <c r="AG257" s="91" t="e">
        <f t="shared" si="175"/>
        <v>#DIV/0!</v>
      </c>
      <c r="AH257" s="92">
        <f t="shared" si="176"/>
        <v>0</v>
      </c>
    </row>
    <row r="258" spans="1:34" x14ac:dyDescent="0.3">
      <c r="A258" s="223"/>
      <c r="B258" s="4"/>
      <c r="C258" s="4" t="str">
        <f t="shared" si="165"/>
        <v>Oliera1</v>
      </c>
      <c r="D258" s="5">
        <f t="shared" si="165"/>
        <v>2</v>
      </c>
      <c r="E258" s="5">
        <f t="shared" si="165"/>
        <v>1</v>
      </c>
      <c r="F258" s="5">
        <f t="shared" si="165"/>
        <v>0.54</v>
      </c>
      <c r="G258" s="5">
        <f t="shared" si="165"/>
        <v>54</v>
      </c>
      <c r="H258" s="4">
        <f t="shared" si="165"/>
        <v>1.830542E-4</v>
      </c>
      <c r="I258" s="6">
        <f t="shared" si="165"/>
        <v>0.50848388888888885</v>
      </c>
      <c r="J258" s="6">
        <f t="shared" si="165"/>
        <v>0.45763549999999997</v>
      </c>
      <c r="R258" s="23">
        <v>0</v>
      </c>
      <c r="S258" s="6">
        <f t="shared" si="163"/>
        <v>0</v>
      </c>
      <c r="T258" s="6">
        <f t="shared" si="166"/>
        <v>0</v>
      </c>
      <c r="U258" s="4">
        <f t="shared" si="167"/>
        <v>0</v>
      </c>
      <c r="V258" s="115">
        <f>+S258*$M$3/'COST DATA'!$D$26</f>
        <v>0</v>
      </c>
      <c r="W258" s="16">
        <f t="shared" si="177"/>
        <v>0</v>
      </c>
      <c r="X258" s="27">
        <f t="shared" si="169"/>
        <v>0</v>
      </c>
      <c r="Y258" s="27">
        <f t="shared" si="170"/>
        <v>0</v>
      </c>
      <c r="Z258" s="4">
        <f t="shared" si="171"/>
        <v>0</v>
      </c>
      <c r="AA258" s="82">
        <f>+'Finished goods'!$O$3*'PRIVATE CUSTOMER (BtoC)'!T258</f>
        <v>0</v>
      </c>
      <c r="AB258" s="82">
        <f>+'Finished goods'!$P$26*R258</f>
        <v>0</v>
      </c>
      <c r="AC258" s="83">
        <f t="shared" si="172"/>
        <v>0</v>
      </c>
      <c r="AD258" s="93" t="e">
        <f t="shared" si="173"/>
        <v>#DIV/0!</v>
      </c>
      <c r="AE258" s="93">
        <f>+'REVENUE DATA'!$D$26</f>
        <v>0</v>
      </c>
      <c r="AF258" s="90" t="e">
        <f t="shared" si="174"/>
        <v>#DIV/0!</v>
      </c>
      <c r="AG258" s="91" t="e">
        <f t="shared" si="175"/>
        <v>#DIV/0!</v>
      </c>
      <c r="AH258" s="92">
        <f t="shared" si="176"/>
        <v>0</v>
      </c>
    </row>
    <row r="259" spans="1:34" ht="15" thickBot="1" x14ac:dyDescent="0.35">
      <c r="A259" s="224"/>
      <c r="B259" s="4"/>
      <c r="C259" s="4" t="str">
        <f t="shared" si="165"/>
        <v>Piatto spirale</v>
      </c>
      <c r="D259" s="5">
        <f t="shared" si="165"/>
        <v>4</v>
      </c>
      <c r="E259" s="5">
        <f t="shared" si="165"/>
        <v>5</v>
      </c>
      <c r="F259" s="5">
        <f t="shared" si="165"/>
        <v>0.25</v>
      </c>
      <c r="G259" s="5">
        <f t="shared" si="165"/>
        <v>25</v>
      </c>
      <c r="H259" s="4">
        <f t="shared" si="165"/>
        <v>1.575448E-4</v>
      </c>
      <c r="I259" s="6">
        <f t="shared" si="165"/>
        <v>0.43762444444444443</v>
      </c>
      <c r="J259" s="6">
        <f t="shared" si="165"/>
        <v>0.39386199999999999</v>
      </c>
      <c r="R259" s="23">
        <v>0</v>
      </c>
      <c r="S259" s="6">
        <f t="shared" si="163"/>
        <v>0</v>
      </c>
      <c r="T259" s="6">
        <f t="shared" si="166"/>
        <v>0</v>
      </c>
      <c r="U259" s="4">
        <f t="shared" si="167"/>
        <v>0</v>
      </c>
      <c r="V259" s="116">
        <f>+S259*$M$3/'COST DATA'!$D$26</f>
        <v>0</v>
      </c>
      <c r="W259" s="117">
        <f t="shared" si="177"/>
        <v>0</v>
      </c>
      <c r="X259" s="118">
        <f t="shared" si="169"/>
        <v>0</v>
      </c>
      <c r="Y259" s="118">
        <f t="shared" si="170"/>
        <v>0</v>
      </c>
      <c r="Z259" s="119">
        <f t="shared" si="171"/>
        <v>0</v>
      </c>
      <c r="AA259" s="85">
        <f>+'Finished goods'!$O$3*'PRIVATE CUSTOMER (BtoC)'!T259</f>
        <v>0</v>
      </c>
      <c r="AB259" s="85">
        <f>+'Finished goods'!$P$27*R259</f>
        <v>0</v>
      </c>
      <c r="AC259" s="86">
        <f t="shared" si="172"/>
        <v>0</v>
      </c>
      <c r="AD259" s="93" t="e">
        <f t="shared" si="173"/>
        <v>#DIV/0!</v>
      </c>
      <c r="AE259" s="93">
        <f>+'REVENUE DATA'!$D$27</f>
        <v>0</v>
      </c>
      <c r="AF259" s="90" t="e">
        <f t="shared" si="174"/>
        <v>#DIV/0!</v>
      </c>
      <c r="AG259" s="91" t="e">
        <f t="shared" si="175"/>
        <v>#DIV/0!</v>
      </c>
      <c r="AH259" s="92">
        <f t="shared" si="176"/>
        <v>0</v>
      </c>
    </row>
    <row r="262" spans="1:34" ht="18.600000000000001" thickBot="1" x14ac:dyDescent="0.4">
      <c r="D262" s="237" t="s">
        <v>40</v>
      </c>
      <c r="E262" s="237"/>
      <c r="F262" s="237"/>
      <c r="G262" s="237"/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10" t="s">
        <v>32</v>
      </c>
      <c r="S262" s="87">
        <f>+S264/60/7</f>
        <v>0</v>
      </c>
      <c r="T262" s="88" t="s">
        <v>83</v>
      </c>
    </row>
    <row r="263" spans="1:34" x14ac:dyDescent="0.3">
      <c r="D263" s="236" t="s">
        <v>33</v>
      </c>
      <c r="E263" s="236"/>
      <c r="F263" s="236"/>
      <c r="G263" s="236"/>
      <c r="H263" s="236"/>
      <c r="I263" s="236"/>
      <c r="J263" s="236"/>
      <c r="M263" s="236" t="s">
        <v>36</v>
      </c>
      <c r="N263" s="236"/>
      <c r="O263" s="236"/>
      <c r="P263" s="236"/>
      <c r="Q263" s="236"/>
      <c r="V263" s="238" t="s">
        <v>135</v>
      </c>
      <c r="W263" s="239"/>
      <c r="X263" s="239"/>
      <c r="Y263" s="239"/>
      <c r="Z263" s="239"/>
      <c r="AA263" s="239"/>
      <c r="AB263" s="239"/>
      <c r="AC263" s="240"/>
    </row>
    <row r="264" spans="1:34" ht="18" x14ac:dyDescent="0.35">
      <c r="F264" s="225" t="s">
        <v>44</v>
      </c>
      <c r="G264" s="225"/>
      <c r="I264" s="20">
        <f>SUBTOTAL(9,I266:I288)</f>
        <v>59.570075669444442</v>
      </c>
      <c r="J264" s="20">
        <f>SUBTOTAL(9,J266:J288)</f>
        <v>53.613068102499987</v>
      </c>
      <c r="K264" s="1">
        <f>+'Finished goods'!$I$3</f>
        <v>2500</v>
      </c>
      <c r="L264" s="1">
        <f>+'Finished goods'!$J$3</f>
        <v>0.9</v>
      </c>
      <c r="M264" s="15">
        <f>+'Finished goods'!$K$3</f>
        <v>0.50772709939119998</v>
      </c>
      <c r="N264" s="15">
        <f>+'Finished goods'!$L$3</f>
        <v>6.7889999999999999E-3</v>
      </c>
      <c r="O264" s="13">
        <f>+'Finished goods'!$M$3</f>
        <v>0.15750000000000003</v>
      </c>
      <c r="P264" s="46">
        <f>+'Finished goods'!$N$3</f>
        <v>5.8880308880308881E-2</v>
      </c>
      <c r="Q264" s="1"/>
      <c r="S264" s="17">
        <f>SUBTOTAL(9,S266:S288)</f>
        <v>0</v>
      </c>
      <c r="T264" s="17">
        <f>SUBTOTAL(9,T266:T288)</f>
        <v>0</v>
      </c>
      <c r="U264" s="75">
        <f>SUBTOTAL(9,U266:U288)</f>
        <v>0</v>
      </c>
      <c r="V264" s="77">
        <f t="shared" ref="V264:AC264" si="178">SUBTOTAL(9,V266:V288)</f>
        <v>0</v>
      </c>
      <c r="W264" s="17">
        <f t="shared" si="178"/>
        <v>0</v>
      </c>
      <c r="X264" s="17">
        <f t="shared" si="178"/>
        <v>0</v>
      </c>
      <c r="Y264" s="17">
        <f t="shared" si="178"/>
        <v>0</v>
      </c>
      <c r="Z264" s="17">
        <f t="shared" si="178"/>
        <v>0</v>
      </c>
      <c r="AA264" s="17">
        <f t="shared" si="178"/>
        <v>0</v>
      </c>
      <c r="AB264" s="17">
        <f t="shared" si="178"/>
        <v>0</v>
      </c>
      <c r="AC264" s="78">
        <f t="shared" si="178"/>
        <v>0</v>
      </c>
      <c r="AF264" s="225" t="s">
        <v>118</v>
      </c>
      <c r="AG264" s="225"/>
      <c r="AH264" s="108">
        <f t="shared" ref="AH264" si="179">SUBTOTAL(9,AH266:AH288)</f>
        <v>0</v>
      </c>
    </row>
    <row r="265" spans="1:34" x14ac:dyDescent="0.3">
      <c r="A265" s="1" t="s">
        <v>145</v>
      </c>
      <c r="B265" s="1" t="s">
        <v>30</v>
      </c>
      <c r="C265" s="1" t="s">
        <v>0</v>
      </c>
      <c r="D265" s="1" t="s">
        <v>4</v>
      </c>
      <c r="E265" s="1" t="s">
        <v>5</v>
      </c>
      <c r="F265" s="1" t="s">
        <v>45</v>
      </c>
      <c r="G265" s="1" t="s">
        <v>57</v>
      </c>
      <c r="H265" s="1" t="s">
        <v>6</v>
      </c>
      <c r="I265" s="1" t="s">
        <v>2</v>
      </c>
      <c r="J265" s="1" t="s">
        <v>7</v>
      </c>
      <c r="K265" s="1" t="s">
        <v>31</v>
      </c>
      <c r="L265" s="1" t="s">
        <v>8</v>
      </c>
      <c r="M265" s="1" t="s">
        <v>34</v>
      </c>
      <c r="N265" s="1" t="s">
        <v>35</v>
      </c>
      <c r="O265" s="1" t="s">
        <v>37</v>
      </c>
      <c r="P265" s="1" t="s">
        <v>93</v>
      </c>
      <c r="Q265" s="1" t="s">
        <v>94</v>
      </c>
      <c r="R265" s="11" t="s">
        <v>39</v>
      </c>
      <c r="S265" s="2" t="s">
        <v>43</v>
      </c>
      <c r="T265" s="2" t="s">
        <v>2</v>
      </c>
      <c r="U265" s="76" t="s">
        <v>7</v>
      </c>
      <c r="V265" s="79" t="str">
        <f>+V4</f>
        <v>energia €/h</v>
      </c>
      <c r="W265" s="79" t="str">
        <f t="shared" ref="W265:AB265" si="180">+W4</f>
        <v>materiale €/Kg</v>
      </c>
      <c r="X265" s="79" t="str">
        <f t="shared" si="180"/>
        <v>mod</v>
      </c>
      <c r="Y265" s="79" t="str">
        <f t="shared" si="180"/>
        <v>ammort</v>
      </c>
      <c r="Z265" s="79" t="str">
        <f t="shared" si="180"/>
        <v>Accensione</v>
      </c>
      <c r="AA265" s="79" t="str">
        <f t="shared" si="180"/>
        <v>trasporto</v>
      </c>
      <c r="AB265" s="79" t="str">
        <f t="shared" si="180"/>
        <v>forniture</v>
      </c>
      <c r="AC265" s="80" t="s">
        <v>42</v>
      </c>
      <c r="AD265" s="53" t="s">
        <v>116</v>
      </c>
      <c r="AE265" s="1" t="s">
        <v>117</v>
      </c>
      <c r="AF265" s="1" t="s">
        <v>119</v>
      </c>
      <c r="AG265" s="1" t="s">
        <v>120</v>
      </c>
      <c r="AH265" s="1" t="s">
        <v>121</v>
      </c>
    </row>
    <row r="266" spans="1:34" x14ac:dyDescent="0.3">
      <c r="A266" s="222" t="s">
        <v>420</v>
      </c>
      <c r="B266" s="4"/>
      <c r="C266" s="4" t="str">
        <f>+C237</f>
        <v>Tavolo twist Logo</v>
      </c>
      <c r="D266" s="5">
        <f>+D237</f>
        <v>8</v>
      </c>
      <c r="E266" s="5">
        <f t="shared" ref="E266:J266" si="181">+E237</f>
        <v>10</v>
      </c>
      <c r="F266" s="5">
        <f t="shared" si="181"/>
        <v>1.22</v>
      </c>
      <c r="G266" s="5">
        <f t="shared" si="181"/>
        <v>82</v>
      </c>
      <c r="H266" s="4">
        <f t="shared" si="181"/>
        <v>7.9769999999999997E-3</v>
      </c>
      <c r="I266" s="6">
        <f t="shared" si="181"/>
        <v>22.158333333333331</v>
      </c>
      <c r="J266" s="6">
        <f t="shared" si="181"/>
        <v>19.942499999999999</v>
      </c>
      <c r="R266" s="23">
        <v>0</v>
      </c>
      <c r="S266" s="6">
        <f t="shared" ref="S266:S288" si="182">+G266*$R266</f>
        <v>0</v>
      </c>
      <c r="T266" s="6">
        <f t="shared" ref="T266" si="183">+I266*$R266</f>
        <v>0</v>
      </c>
      <c r="U266" s="4">
        <f>+J266*$R266</f>
        <v>0</v>
      </c>
      <c r="V266" s="115">
        <f>+S266*$M$3/'COST DATA'!$D$26</f>
        <v>0</v>
      </c>
      <c r="W266" s="16">
        <f>+U266*$N$3</f>
        <v>0</v>
      </c>
      <c r="X266" s="27">
        <f>+S266*$O$3</f>
        <v>0</v>
      </c>
      <c r="Y266" s="27">
        <f>+S266*$P$3</f>
        <v>0</v>
      </c>
      <c r="Z266" s="4">
        <f>+(S266/$S$3)*($S$1)</f>
        <v>0</v>
      </c>
      <c r="AA266" s="82">
        <f>+'Finished goods'!$O$3*'PRIVATE CUSTOMER (BtoC)'!T266</f>
        <v>0</v>
      </c>
      <c r="AB266" s="82">
        <f>+'Finished goods'!$P$5*R266</f>
        <v>0</v>
      </c>
      <c r="AC266" s="83">
        <f>SUM(V266:AB266)</f>
        <v>0</v>
      </c>
      <c r="AD266" s="93" t="e">
        <f>+AC266/R266</f>
        <v>#DIV/0!</v>
      </c>
      <c r="AE266" s="93">
        <f>+'REVENUE DATA'!$D$5</f>
        <v>1200</v>
      </c>
      <c r="AF266" s="90" t="e">
        <f>+AE266-AD266</f>
        <v>#DIV/0!</v>
      </c>
      <c r="AG266" s="91" t="e">
        <f>+AF266/AD266</f>
        <v>#DIV/0!</v>
      </c>
      <c r="AH266" s="92">
        <f>+AE266*R266</f>
        <v>0</v>
      </c>
    </row>
    <row r="267" spans="1:34" x14ac:dyDescent="0.3">
      <c r="A267" s="223"/>
      <c r="B267" s="4"/>
      <c r="C267" s="4" t="str">
        <f t="shared" ref="C267:J288" si="184">+C238</f>
        <v xml:space="preserve">Vaso bitorzolo curvo </v>
      </c>
      <c r="D267" s="5">
        <f t="shared" si="184"/>
        <v>4</v>
      </c>
      <c r="E267" s="5">
        <f t="shared" si="184"/>
        <v>2</v>
      </c>
      <c r="F267" s="5">
        <f t="shared" si="184"/>
        <v>5.21</v>
      </c>
      <c r="G267" s="5">
        <f t="shared" si="184"/>
        <v>321</v>
      </c>
      <c r="H267" s="4">
        <f t="shared" si="184"/>
        <v>6.0029599999999995E-4</v>
      </c>
      <c r="I267" s="6">
        <f t="shared" si="184"/>
        <v>1.6674888888888888</v>
      </c>
      <c r="J267" s="6">
        <f t="shared" si="184"/>
        <v>1.50074</v>
      </c>
      <c r="R267" s="23">
        <v>0</v>
      </c>
      <c r="S267" s="6">
        <f t="shared" si="182"/>
        <v>0</v>
      </c>
      <c r="T267" s="6">
        <f t="shared" ref="T267:T288" si="185">+H267*$R267</f>
        <v>0</v>
      </c>
      <c r="U267" s="4">
        <f t="shared" ref="U267:U288" si="186">+J267*$R267</f>
        <v>0</v>
      </c>
      <c r="V267" s="115">
        <f>+S267*$M$3/'COST DATA'!$D$26</f>
        <v>0</v>
      </c>
      <c r="W267" s="16">
        <f t="shared" ref="W267:W277" si="187">+U267*$N$3</f>
        <v>0</v>
      </c>
      <c r="X267" s="27">
        <f t="shared" ref="X267:X288" si="188">+S267*$O$3</f>
        <v>0</v>
      </c>
      <c r="Y267" s="27">
        <f t="shared" ref="Y267:Y288" si="189">+S267*$P$3</f>
        <v>0</v>
      </c>
      <c r="Z267" s="4">
        <f t="shared" ref="Z267:Z288" si="190">+(S267/$S$3)*($S$1)</f>
        <v>0</v>
      </c>
      <c r="AA267" s="82">
        <f>+'Finished goods'!$O$3*'PRIVATE CUSTOMER (BtoC)'!T267</f>
        <v>0</v>
      </c>
      <c r="AB267" s="82">
        <f>+'Finished goods'!$P$6*R267</f>
        <v>0</v>
      </c>
      <c r="AC267" s="83">
        <f t="shared" ref="AC267:AC288" si="191">SUM(V267:AB267)</f>
        <v>0</v>
      </c>
      <c r="AD267" s="93" t="e">
        <f t="shared" ref="AD267:AD288" si="192">+AC267/R267</f>
        <v>#DIV/0!</v>
      </c>
      <c r="AE267" s="93">
        <f>+'REVENUE DATA'!$D$6</f>
        <v>350</v>
      </c>
      <c r="AF267" s="90" t="e">
        <f t="shared" ref="AF267:AF288" si="193">+AE267-AD267</f>
        <v>#DIV/0!</v>
      </c>
      <c r="AG267" s="91" t="e">
        <f t="shared" ref="AG267:AG288" si="194">+AF267/AD267</f>
        <v>#DIV/0!</v>
      </c>
      <c r="AH267" s="92">
        <f t="shared" ref="AH267:AH288" si="195">+AE267*R267</f>
        <v>0</v>
      </c>
    </row>
    <row r="268" spans="1:34" x14ac:dyDescent="0.3">
      <c r="A268" s="223"/>
      <c r="B268" s="4"/>
      <c r="C268" s="4" t="str">
        <f t="shared" si="184"/>
        <v>Vaso bitorzolo twist</v>
      </c>
      <c r="D268" s="5">
        <f t="shared" si="184"/>
        <v>4</v>
      </c>
      <c r="E268" s="5">
        <f t="shared" si="184"/>
        <v>2</v>
      </c>
      <c r="F268" s="5">
        <f t="shared" si="184"/>
        <v>5.15</v>
      </c>
      <c r="G268" s="5">
        <f t="shared" si="184"/>
        <v>315</v>
      </c>
      <c r="H268" s="4">
        <f t="shared" si="184"/>
        <v>8.005105E-4</v>
      </c>
      <c r="I268" s="6">
        <f t="shared" si="184"/>
        <v>2.2236402777777777</v>
      </c>
      <c r="J268" s="6">
        <f t="shared" si="184"/>
        <v>2.0012762500000001</v>
      </c>
      <c r="R268" s="23">
        <v>0</v>
      </c>
      <c r="S268" s="6">
        <f t="shared" si="182"/>
        <v>0</v>
      </c>
      <c r="T268" s="6">
        <f t="shared" si="185"/>
        <v>0</v>
      </c>
      <c r="U268" s="4">
        <f t="shared" si="186"/>
        <v>0</v>
      </c>
      <c r="V268" s="115">
        <f>+S268*$M$3/'COST DATA'!$D$26</f>
        <v>0</v>
      </c>
      <c r="W268" s="16">
        <f t="shared" si="187"/>
        <v>0</v>
      </c>
      <c r="X268" s="27">
        <f t="shared" si="188"/>
        <v>0</v>
      </c>
      <c r="Y268" s="27">
        <f t="shared" si="189"/>
        <v>0</v>
      </c>
      <c r="Z268" s="4">
        <f t="shared" si="190"/>
        <v>0</v>
      </c>
      <c r="AA268" s="82">
        <f>+'Finished goods'!$O$3*'PRIVATE CUSTOMER (BtoC)'!T268</f>
        <v>0</v>
      </c>
      <c r="AB268" s="82">
        <f>+'Finished goods'!$P$7*R268</f>
        <v>0</v>
      </c>
      <c r="AC268" s="83">
        <f t="shared" si="191"/>
        <v>0</v>
      </c>
      <c r="AD268" s="93" t="e">
        <f t="shared" si="192"/>
        <v>#DIV/0!</v>
      </c>
      <c r="AE268" s="93">
        <f>+'REVENUE DATA'!$D$7</f>
        <v>350</v>
      </c>
      <c r="AF268" s="90" t="e">
        <f t="shared" si="193"/>
        <v>#DIV/0!</v>
      </c>
      <c r="AG268" s="91" t="e">
        <f t="shared" si="194"/>
        <v>#DIV/0!</v>
      </c>
      <c r="AH268" s="92">
        <f t="shared" si="195"/>
        <v>0</v>
      </c>
    </row>
    <row r="269" spans="1:34" x14ac:dyDescent="0.3">
      <c r="A269" s="223"/>
      <c r="B269" s="4"/>
      <c r="C269" s="4" t="str">
        <f t="shared" si="184"/>
        <v>Vaso bitorzolo dritto</v>
      </c>
      <c r="D269" s="5">
        <f t="shared" si="184"/>
        <v>4</v>
      </c>
      <c r="E269" s="5">
        <f t="shared" si="184"/>
        <v>2</v>
      </c>
      <c r="F269" s="5">
        <f t="shared" si="184"/>
        <v>4.4800000000000004</v>
      </c>
      <c r="G269" s="5">
        <f t="shared" si="184"/>
        <v>288</v>
      </c>
      <c r="H269" s="4">
        <f t="shared" si="184"/>
        <v>8.2321687099999998E-4</v>
      </c>
      <c r="I269" s="6">
        <f t="shared" si="184"/>
        <v>2.2867135305555553</v>
      </c>
      <c r="J269" s="6">
        <f t="shared" si="184"/>
        <v>2.0580421775</v>
      </c>
      <c r="R269" s="23">
        <v>0</v>
      </c>
      <c r="S269" s="6">
        <f t="shared" si="182"/>
        <v>0</v>
      </c>
      <c r="T269" s="6">
        <f t="shared" si="185"/>
        <v>0</v>
      </c>
      <c r="U269" s="4">
        <f t="shared" si="186"/>
        <v>0</v>
      </c>
      <c r="V269" s="115">
        <f>+S269*$M$3/'COST DATA'!$D$26</f>
        <v>0</v>
      </c>
      <c r="W269" s="16">
        <f t="shared" si="187"/>
        <v>0</v>
      </c>
      <c r="X269" s="27">
        <f t="shared" si="188"/>
        <v>0</v>
      </c>
      <c r="Y269" s="27">
        <f t="shared" si="189"/>
        <v>0</v>
      </c>
      <c r="Z269" s="4">
        <f t="shared" si="190"/>
        <v>0</v>
      </c>
      <c r="AA269" s="82">
        <f>+'Finished goods'!$O$3*'PRIVATE CUSTOMER (BtoC)'!T269</f>
        <v>0</v>
      </c>
      <c r="AB269" s="82">
        <f>+'Finished goods'!$P$8*R269</f>
        <v>0</v>
      </c>
      <c r="AC269" s="83">
        <f t="shared" si="191"/>
        <v>0</v>
      </c>
      <c r="AD269" s="93" t="e">
        <f t="shared" si="192"/>
        <v>#DIV/0!</v>
      </c>
      <c r="AE269" s="93">
        <f>+'REVENUE DATA'!$D$8</f>
        <v>350</v>
      </c>
      <c r="AF269" s="90" t="e">
        <f t="shared" si="193"/>
        <v>#DIV/0!</v>
      </c>
      <c r="AG269" s="91" t="e">
        <f t="shared" si="194"/>
        <v>#DIV/0!</v>
      </c>
      <c r="AH269" s="92">
        <f t="shared" si="195"/>
        <v>0</v>
      </c>
    </row>
    <row r="270" spans="1:34" x14ac:dyDescent="0.3">
      <c r="A270" s="223"/>
      <c r="B270" s="4"/>
      <c r="C270" s="4" t="str">
        <f t="shared" si="184"/>
        <v>Porta riviste</v>
      </c>
      <c r="D270" s="5">
        <f t="shared" si="184"/>
        <v>10</v>
      </c>
      <c r="E270" s="5">
        <f t="shared" si="184"/>
        <v>10</v>
      </c>
      <c r="F270" s="5">
        <f t="shared" si="184"/>
        <v>0.42</v>
      </c>
      <c r="G270" s="5">
        <f t="shared" si="184"/>
        <v>42</v>
      </c>
      <c r="H270" s="4">
        <f t="shared" si="184"/>
        <v>3.5606798E-3</v>
      </c>
      <c r="I270" s="6">
        <f t="shared" si="184"/>
        <v>9.890777222222221</v>
      </c>
      <c r="J270" s="6">
        <f t="shared" si="184"/>
        <v>8.9016994999999994</v>
      </c>
      <c r="R270" s="23">
        <v>0</v>
      </c>
      <c r="S270" s="6">
        <f t="shared" si="182"/>
        <v>0</v>
      </c>
      <c r="T270" s="6">
        <f t="shared" si="185"/>
        <v>0</v>
      </c>
      <c r="U270" s="4">
        <f t="shared" si="186"/>
        <v>0</v>
      </c>
      <c r="V270" s="115">
        <f>+S270*$M$3/'COST DATA'!$D$26</f>
        <v>0</v>
      </c>
      <c r="W270" s="16">
        <f t="shared" si="187"/>
        <v>0</v>
      </c>
      <c r="X270" s="27">
        <f t="shared" si="188"/>
        <v>0</v>
      </c>
      <c r="Y270" s="27">
        <f t="shared" si="189"/>
        <v>0</v>
      </c>
      <c r="Z270" s="4">
        <f t="shared" si="190"/>
        <v>0</v>
      </c>
      <c r="AA270" s="82">
        <f>+'Finished goods'!$O$3*'PRIVATE CUSTOMER (BtoC)'!T270</f>
        <v>0</v>
      </c>
      <c r="AB270" s="82">
        <f>+'Finished goods'!$P$9*R270</f>
        <v>0</v>
      </c>
      <c r="AC270" s="83">
        <f t="shared" si="191"/>
        <v>0</v>
      </c>
      <c r="AD270" s="93" t="e">
        <f t="shared" si="192"/>
        <v>#DIV/0!</v>
      </c>
      <c r="AE270" s="93">
        <f>+'REVENUE DATA'!$D$9</f>
        <v>180</v>
      </c>
      <c r="AF270" s="90" t="e">
        <f t="shared" si="193"/>
        <v>#DIV/0!</v>
      </c>
      <c r="AG270" s="91" t="e">
        <f t="shared" si="194"/>
        <v>#DIV/0!</v>
      </c>
      <c r="AH270" s="92">
        <f t="shared" si="195"/>
        <v>0</v>
      </c>
    </row>
    <row r="271" spans="1:34" x14ac:dyDescent="0.3">
      <c r="A271" s="223"/>
      <c r="B271" s="4"/>
      <c r="C271" s="4" t="str">
        <f t="shared" si="184"/>
        <v>Lampada 90 grossa</v>
      </c>
      <c r="D271" s="5">
        <f t="shared" si="184"/>
        <v>8</v>
      </c>
      <c r="E271" s="5">
        <f t="shared" si="184"/>
        <v>10</v>
      </c>
      <c r="F271" s="5">
        <f t="shared" si="184"/>
        <v>1.39</v>
      </c>
      <c r="G271" s="5">
        <f t="shared" si="184"/>
        <v>99</v>
      </c>
      <c r="H271" s="4">
        <f t="shared" si="184"/>
        <v>1.7366300000000001E-3</v>
      </c>
      <c r="I271" s="6">
        <f t="shared" si="184"/>
        <v>4.8239722222222232</v>
      </c>
      <c r="J271" s="6">
        <f t="shared" si="184"/>
        <v>4.3415750000000006</v>
      </c>
      <c r="R271" s="23">
        <v>0</v>
      </c>
      <c r="S271" s="6">
        <f t="shared" si="182"/>
        <v>0</v>
      </c>
      <c r="T271" s="6">
        <f t="shared" si="185"/>
        <v>0</v>
      </c>
      <c r="U271" s="4">
        <f t="shared" si="186"/>
        <v>0</v>
      </c>
      <c r="V271" s="115">
        <f>+S271*$M$3/'COST DATA'!$D$26</f>
        <v>0</v>
      </c>
      <c r="W271" s="16">
        <f t="shared" si="187"/>
        <v>0</v>
      </c>
      <c r="X271" s="27">
        <f t="shared" si="188"/>
        <v>0</v>
      </c>
      <c r="Y271" s="27">
        <f t="shared" si="189"/>
        <v>0</v>
      </c>
      <c r="Z271" s="4">
        <f t="shared" si="190"/>
        <v>0</v>
      </c>
      <c r="AA271" s="82">
        <f>+'Finished goods'!$O$3*'PRIVATE CUSTOMER (BtoC)'!T271</f>
        <v>0</v>
      </c>
      <c r="AB271" s="82">
        <f>+'Finished goods'!$P$10*R271</f>
        <v>0</v>
      </c>
      <c r="AC271" s="83">
        <f t="shared" si="191"/>
        <v>0</v>
      </c>
      <c r="AD271" s="93" t="e">
        <f t="shared" si="192"/>
        <v>#DIV/0!</v>
      </c>
      <c r="AE271" s="93">
        <f>+'REVENUE DATA'!$D$10</f>
        <v>450</v>
      </c>
      <c r="AF271" s="90" t="e">
        <f t="shared" si="193"/>
        <v>#DIV/0!</v>
      </c>
      <c r="AG271" s="91" t="e">
        <f t="shared" si="194"/>
        <v>#DIV/0!</v>
      </c>
      <c r="AH271" s="92">
        <f t="shared" si="195"/>
        <v>0</v>
      </c>
    </row>
    <row r="272" spans="1:34" x14ac:dyDescent="0.3">
      <c r="A272" s="223"/>
      <c r="B272" s="4"/>
      <c r="C272" s="4" t="str">
        <f t="shared" si="184"/>
        <v>Lampada 90 piccola</v>
      </c>
      <c r="D272" s="5">
        <f t="shared" si="184"/>
        <v>5</v>
      </c>
      <c r="E272" s="5">
        <f t="shared" si="184"/>
        <v>10</v>
      </c>
      <c r="F272" s="5">
        <f t="shared" si="184"/>
        <v>1.1499999999999999</v>
      </c>
      <c r="G272" s="5">
        <f t="shared" si="184"/>
        <v>75</v>
      </c>
      <c r="H272" s="4">
        <f t="shared" si="184"/>
        <v>8.1557296000000004E-4</v>
      </c>
      <c r="I272" s="6">
        <f t="shared" si="184"/>
        <v>2.2654804444444445</v>
      </c>
      <c r="J272" s="6">
        <f t="shared" si="184"/>
        <v>2.0389324000000002</v>
      </c>
      <c r="R272" s="23">
        <v>0</v>
      </c>
      <c r="S272" s="6">
        <f t="shared" si="182"/>
        <v>0</v>
      </c>
      <c r="T272" s="6">
        <f t="shared" si="185"/>
        <v>0</v>
      </c>
      <c r="U272" s="4">
        <f t="shared" si="186"/>
        <v>0</v>
      </c>
      <c r="V272" s="115">
        <f>+S272*$M$3/'COST DATA'!$D$26</f>
        <v>0</v>
      </c>
      <c r="W272" s="16">
        <f t="shared" si="187"/>
        <v>0</v>
      </c>
      <c r="X272" s="27">
        <f t="shared" si="188"/>
        <v>0</v>
      </c>
      <c r="Y272" s="27">
        <f t="shared" si="189"/>
        <v>0</v>
      </c>
      <c r="Z272" s="4">
        <f t="shared" si="190"/>
        <v>0</v>
      </c>
      <c r="AA272" s="82">
        <f>+'Finished goods'!$O$3*'PRIVATE CUSTOMER (BtoC)'!T272</f>
        <v>0</v>
      </c>
      <c r="AB272" s="82">
        <f>+'Finished goods'!$P$11*R272</f>
        <v>0</v>
      </c>
      <c r="AC272" s="83">
        <f t="shared" si="191"/>
        <v>0</v>
      </c>
      <c r="AD272" s="93" t="e">
        <f t="shared" si="192"/>
        <v>#DIV/0!</v>
      </c>
      <c r="AE272" s="93">
        <f>+'REVENUE DATA'!$D$11</f>
        <v>200</v>
      </c>
      <c r="AF272" s="90" t="e">
        <f t="shared" si="193"/>
        <v>#DIV/0!</v>
      </c>
      <c r="AG272" s="91" t="e">
        <f t="shared" si="194"/>
        <v>#DIV/0!</v>
      </c>
      <c r="AH272" s="92">
        <f t="shared" si="195"/>
        <v>0</v>
      </c>
    </row>
    <row r="273" spans="1:34" x14ac:dyDescent="0.3">
      <c r="A273" s="223"/>
      <c r="B273" s="4"/>
      <c r="C273" s="4" t="str">
        <f t="shared" si="184"/>
        <v>Vaso Logo</v>
      </c>
      <c r="D273" s="5">
        <f t="shared" si="184"/>
        <v>5</v>
      </c>
      <c r="E273" s="5">
        <f t="shared" si="184"/>
        <v>10</v>
      </c>
      <c r="F273" s="5">
        <f t="shared" si="184"/>
        <v>0.39</v>
      </c>
      <c r="G273" s="5">
        <f t="shared" si="184"/>
        <v>39</v>
      </c>
      <c r="H273" s="4">
        <f t="shared" si="184"/>
        <v>1.1639584900000001E-3</v>
      </c>
      <c r="I273" s="6">
        <f t="shared" si="184"/>
        <v>3.2332180277777778</v>
      </c>
      <c r="J273" s="6">
        <f t="shared" si="184"/>
        <v>2.9098962250000002</v>
      </c>
      <c r="R273" s="23">
        <v>0</v>
      </c>
      <c r="S273" s="6">
        <f t="shared" si="182"/>
        <v>0</v>
      </c>
      <c r="T273" s="6">
        <f t="shared" si="185"/>
        <v>0</v>
      </c>
      <c r="U273" s="4">
        <f t="shared" si="186"/>
        <v>0</v>
      </c>
      <c r="V273" s="115">
        <f>+S273*$M$3/'COST DATA'!$D$26</f>
        <v>0</v>
      </c>
      <c r="W273" s="16">
        <f t="shared" si="187"/>
        <v>0</v>
      </c>
      <c r="X273" s="27">
        <f t="shared" si="188"/>
        <v>0</v>
      </c>
      <c r="Y273" s="27">
        <f t="shared" si="189"/>
        <v>0</v>
      </c>
      <c r="Z273" s="4">
        <f t="shared" si="190"/>
        <v>0</v>
      </c>
      <c r="AA273" s="82">
        <f>+'Finished goods'!$O$3*'PRIVATE CUSTOMER (BtoC)'!T273</f>
        <v>0</v>
      </c>
      <c r="AB273" s="82">
        <f>+'Finished goods'!$P$12*R273</f>
        <v>0</v>
      </c>
      <c r="AC273" s="83">
        <f t="shared" si="191"/>
        <v>0</v>
      </c>
      <c r="AD273" s="93" t="e">
        <f t="shared" si="192"/>
        <v>#DIV/0!</v>
      </c>
      <c r="AE273" s="93">
        <f>+'REVENUE DATA'!$D$12</f>
        <v>350</v>
      </c>
      <c r="AF273" s="90" t="e">
        <f t="shared" si="193"/>
        <v>#DIV/0!</v>
      </c>
      <c r="AG273" s="91" t="e">
        <f t="shared" si="194"/>
        <v>#DIV/0!</v>
      </c>
      <c r="AH273" s="92">
        <f t="shared" si="195"/>
        <v>0</v>
      </c>
    </row>
    <row r="274" spans="1:34" x14ac:dyDescent="0.3">
      <c r="A274" s="223"/>
      <c r="B274" s="4"/>
      <c r="C274" s="4" t="str">
        <f t="shared" si="184"/>
        <v>Copri candela</v>
      </c>
      <c r="D274" s="5">
        <f t="shared" si="184"/>
        <v>4</v>
      </c>
      <c r="E274" s="5">
        <f t="shared" si="184"/>
        <v>5</v>
      </c>
      <c r="F274" s="5">
        <f t="shared" si="184"/>
        <v>0.34</v>
      </c>
      <c r="G274" s="5">
        <f t="shared" si="184"/>
        <v>34</v>
      </c>
      <c r="H274" s="4">
        <f t="shared" si="184"/>
        <v>2.3780405299999999E-4</v>
      </c>
      <c r="I274" s="6">
        <f t="shared" si="184"/>
        <v>0.66056681388888883</v>
      </c>
      <c r="J274" s="6">
        <f t="shared" si="184"/>
        <v>0.59451013249999995</v>
      </c>
      <c r="R274" s="23">
        <v>0</v>
      </c>
      <c r="S274" s="6">
        <f t="shared" si="182"/>
        <v>0</v>
      </c>
      <c r="T274" s="6">
        <f t="shared" si="185"/>
        <v>0</v>
      </c>
      <c r="U274" s="4">
        <f t="shared" si="186"/>
        <v>0</v>
      </c>
      <c r="V274" s="115">
        <f>+S274*$M$3/'COST DATA'!$D$26</f>
        <v>0</v>
      </c>
      <c r="W274" s="16">
        <f t="shared" si="187"/>
        <v>0</v>
      </c>
      <c r="X274" s="27">
        <f t="shared" si="188"/>
        <v>0</v>
      </c>
      <c r="Y274" s="27">
        <f t="shared" si="189"/>
        <v>0</v>
      </c>
      <c r="Z274" s="4">
        <f t="shared" si="190"/>
        <v>0</v>
      </c>
      <c r="AA274" s="82">
        <f>+'Finished goods'!$O$3*'PRIVATE CUSTOMER (BtoC)'!T274</f>
        <v>0</v>
      </c>
      <c r="AB274" s="82">
        <f>+'Finished goods'!$P$13*R274</f>
        <v>0</v>
      </c>
      <c r="AC274" s="83">
        <f t="shared" si="191"/>
        <v>0</v>
      </c>
      <c r="AD274" s="93" t="e">
        <f t="shared" si="192"/>
        <v>#DIV/0!</v>
      </c>
      <c r="AE274" s="93">
        <f>+'REVENUE DATA'!$D$13</f>
        <v>75</v>
      </c>
      <c r="AF274" s="90" t="e">
        <f t="shared" si="193"/>
        <v>#DIV/0!</v>
      </c>
      <c r="AG274" s="91" t="e">
        <f t="shared" si="194"/>
        <v>#DIV/0!</v>
      </c>
      <c r="AH274" s="92">
        <f t="shared" si="195"/>
        <v>0</v>
      </c>
    </row>
    <row r="275" spans="1:34" x14ac:dyDescent="0.3">
      <c r="A275" s="223"/>
      <c r="B275" s="4"/>
      <c r="C275" s="4" t="str">
        <f t="shared" si="184"/>
        <v xml:space="preserve">Vaso Grosso </v>
      </c>
      <c r="D275" s="5">
        <f t="shared" si="184"/>
        <v>4</v>
      </c>
      <c r="E275" s="5">
        <f t="shared" si="184"/>
        <v>5</v>
      </c>
      <c r="F275" s="5">
        <f t="shared" si="184"/>
        <v>1.31</v>
      </c>
      <c r="G275" s="5">
        <f t="shared" si="184"/>
        <v>91</v>
      </c>
      <c r="H275" s="4">
        <f t="shared" si="184"/>
        <v>9.52764444E-4</v>
      </c>
      <c r="I275" s="6">
        <f t="shared" si="184"/>
        <v>2.6465679</v>
      </c>
      <c r="J275" s="6">
        <f t="shared" si="184"/>
        <v>2.3819111099999999</v>
      </c>
      <c r="R275" s="23">
        <v>0</v>
      </c>
      <c r="S275" s="6">
        <f t="shared" si="182"/>
        <v>0</v>
      </c>
      <c r="T275" s="6">
        <f t="shared" si="185"/>
        <v>0</v>
      </c>
      <c r="U275" s="4">
        <f t="shared" si="186"/>
        <v>0</v>
      </c>
      <c r="V275" s="115">
        <f>+S275*$M$3/'COST DATA'!$D$26</f>
        <v>0</v>
      </c>
      <c r="W275" s="16">
        <f t="shared" si="187"/>
        <v>0</v>
      </c>
      <c r="X275" s="27">
        <f t="shared" si="188"/>
        <v>0</v>
      </c>
      <c r="Y275" s="27">
        <f t="shared" si="189"/>
        <v>0</v>
      </c>
      <c r="Z275" s="4">
        <f t="shared" si="190"/>
        <v>0</v>
      </c>
      <c r="AA275" s="82">
        <f>+'Finished goods'!$O$3*'PRIVATE CUSTOMER (BtoC)'!T275</f>
        <v>0</v>
      </c>
      <c r="AB275" s="82">
        <f>+'Finished goods'!$P$14*R275</f>
        <v>0</v>
      </c>
      <c r="AC275" s="83">
        <f t="shared" si="191"/>
        <v>0</v>
      </c>
      <c r="AD275" s="93" t="e">
        <f t="shared" si="192"/>
        <v>#DIV/0!</v>
      </c>
      <c r="AE275" s="93">
        <f>+'REVENUE DATA'!$D$14</f>
        <v>250</v>
      </c>
      <c r="AF275" s="90" t="e">
        <f t="shared" si="193"/>
        <v>#DIV/0!</v>
      </c>
      <c r="AG275" s="91" t="e">
        <f t="shared" si="194"/>
        <v>#DIV/0!</v>
      </c>
      <c r="AH275" s="92">
        <f t="shared" si="195"/>
        <v>0</v>
      </c>
    </row>
    <row r="276" spans="1:34" x14ac:dyDescent="0.3">
      <c r="A276" s="223"/>
      <c r="B276" s="4"/>
      <c r="C276" s="4" t="str">
        <f t="shared" si="184"/>
        <v>Bicchiere curve dritto</v>
      </c>
      <c r="D276" s="5">
        <f t="shared" si="184"/>
        <v>2</v>
      </c>
      <c r="E276" s="5">
        <f t="shared" si="184"/>
        <v>2</v>
      </c>
      <c r="F276" s="5">
        <f t="shared" si="184"/>
        <v>0.26</v>
      </c>
      <c r="G276" s="5">
        <f t="shared" si="184"/>
        <v>26</v>
      </c>
      <c r="H276" s="4">
        <f t="shared" si="184"/>
        <v>1.6928511099999999E-4</v>
      </c>
      <c r="I276" s="6">
        <f t="shared" si="184"/>
        <v>0.47023641944444439</v>
      </c>
      <c r="J276" s="6">
        <f t="shared" si="184"/>
        <v>0.42321277749999997</v>
      </c>
      <c r="R276" s="23">
        <v>0</v>
      </c>
      <c r="S276" s="6">
        <f t="shared" si="182"/>
        <v>0</v>
      </c>
      <c r="T276" s="6">
        <f t="shared" si="185"/>
        <v>0</v>
      </c>
      <c r="U276" s="4">
        <f t="shared" si="186"/>
        <v>0</v>
      </c>
      <c r="V276" s="115">
        <f>+S276*$M$3/'COST DATA'!$D$26</f>
        <v>0</v>
      </c>
      <c r="W276" s="16">
        <f t="shared" si="187"/>
        <v>0</v>
      </c>
      <c r="X276" s="27">
        <f t="shared" si="188"/>
        <v>0</v>
      </c>
      <c r="Y276" s="27">
        <f t="shared" si="189"/>
        <v>0</v>
      </c>
      <c r="Z276" s="4">
        <f t="shared" si="190"/>
        <v>0</v>
      </c>
      <c r="AA276" s="82">
        <f>+'Finished goods'!$O$3*'PRIVATE CUSTOMER (BtoC)'!T276</f>
        <v>0</v>
      </c>
      <c r="AB276" s="82">
        <f>+'Finished goods'!$P$15*R276</f>
        <v>0</v>
      </c>
      <c r="AC276" s="83">
        <f t="shared" si="191"/>
        <v>0</v>
      </c>
      <c r="AD276" s="93" t="e">
        <f t="shared" si="192"/>
        <v>#DIV/0!</v>
      </c>
      <c r="AE276" s="93">
        <f>+'REVENUE DATA'!$D$15</f>
        <v>0</v>
      </c>
      <c r="AF276" s="90" t="e">
        <f t="shared" si="193"/>
        <v>#DIV/0!</v>
      </c>
      <c r="AG276" s="91" t="e">
        <f t="shared" si="194"/>
        <v>#DIV/0!</v>
      </c>
      <c r="AH276" s="92">
        <f t="shared" si="195"/>
        <v>0</v>
      </c>
    </row>
    <row r="277" spans="1:34" x14ac:dyDescent="0.3">
      <c r="A277" s="223"/>
      <c r="B277" s="4"/>
      <c r="C277" s="4" t="str">
        <f t="shared" si="184"/>
        <v>Bicchiere curve twist</v>
      </c>
      <c r="D277" s="5">
        <f t="shared" si="184"/>
        <v>2</v>
      </c>
      <c r="E277" s="5">
        <f t="shared" si="184"/>
        <v>2</v>
      </c>
      <c r="F277" s="5">
        <f t="shared" si="184"/>
        <v>0.25</v>
      </c>
      <c r="G277" s="5">
        <f t="shared" si="184"/>
        <v>25</v>
      </c>
      <c r="H277" s="4">
        <f t="shared" si="184"/>
        <v>1.69285896E-4</v>
      </c>
      <c r="I277" s="6">
        <f t="shared" si="184"/>
        <v>0.47023859999999995</v>
      </c>
      <c r="J277" s="6">
        <f t="shared" si="184"/>
        <v>0.42321473999999998</v>
      </c>
      <c r="R277" s="23">
        <v>0</v>
      </c>
      <c r="S277" s="6">
        <f t="shared" si="182"/>
        <v>0</v>
      </c>
      <c r="T277" s="6">
        <f t="shared" si="185"/>
        <v>0</v>
      </c>
      <c r="U277" s="4">
        <f t="shared" si="186"/>
        <v>0</v>
      </c>
      <c r="V277" s="115">
        <f>+S277*$M$3/'COST DATA'!$D$26</f>
        <v>0</v>
      </c>
      <c r="W277" s="16">
        <f t="shared" si="187"/>
        <v>0</v>
      </c>
      <c r="X277" s="27">
        <f t="shared" si="188"/>
        <v>0</v>
      </c>
      <c r="Y277" s="27">
        <f t="shared" si="189"/>
        <v>0</v>
      </c>
      <c r="Z277" s="4">
        <f t="shared" si="190"/>
        <v>0</v>
      </c>
      <c r="AA277" s="82">
        <f>+'Finished goods'!$O$3*'PRIVATE CUSTOMER (BtoC)'!T277</f>
        <v>0</v>
      </c>
      <c r="AB277" s="82">
        <f>+'Finished goods'!$P$16*R277</f>
        <v>0</v>
      </c>
      <c r="AC277" s="83">
        <f t="shared" si="191"/>
        <v>0</v>
      </c>
      <c r="AD277" s="93" t="e">
        <f t="shared" si="192"/>
        <v>#DIV/0!</v>
      </c>
      <c r="AE277" s="93">
        <f>+'REVENUE DATA'!$D$16</f>
        <v>0</v>
      </c>
      <c r="AF277" s="90" t="e">
        <f t="shared" si="193"/>
        <v>#DIV/0!</v>
      </c>
      <c r="AG277" s="91" t="e">
        <f t="shared" si="194"/>
        <v>#DIV/0!</v>
      </c>
      <c r="AH277" s="92">
        <f t="shared" si="195"/>
        <v>0</v>
      </c>
    </row>
    <row r="278" spans="1:34" x14ac:dyDescent="0.3">
      <c r="A278" s="223"/>
      <c r="B278" s="4"/>
      <c r="C278" s="4" t="str">
        <f t="shared" si="184"/>
        <v>Caraffa curva</v>
      </c>
      <c r="D278" s="5">
        <f t="shared" si="184"/>
        <v>2</v>
      </c>
      <c r="E278" s="5">
        <f t="shared" si="184"/>
        <v>2</v>
      </c>
      <c r="F278" s="5">
        <f t="shared" si="184"/>
        <v>0.56999999999999995</v>
      </c>
      <c r="G278" s="5">
        <f t="shared" si="184"/>
        <v>57</v>
      </c>
      <c r="H278" s="4">
        <f t="shared" si="184"/>
        <v>3.69342133E-4</v>
      </c>
      <c r="I278" s="6">
        <f t="shared" si="184"/>
        <v>1.0259503694444445</v>
      </c>
      <c r="J278" s="6">
        <f t="shared" si="184"/>
        <v>0.92335533250000001</v>
      </c>
      <c r="R278" s="23">
        <v>0</v>
      </c>
      <c r="S278" s="6">
        <f t="shared" si="182"/>
        <v>0</v>
      </c>
      <c r="T278" s="6">
        <f t="shared" si="185"/>
        <v>0</v>
      </c>
      <c r="U278" s="4">
        <f t="shared" si="186"/>
        <v>0</v>
      </c>
      <c r="V278" s="115">
        <f>+S278*$M$3/'COST DATA'!$D$26</f>
        <v>0</v>
      </c>
      <c r="W278" s="16">
        <f>+U278*$N$3</f>
        <v>0</v>
      </c>
      <c r="X278" s="27">
        <f t="shared" si="188"/>
        <v>0</v>
      </c>
      <c r="Y278" s="27">
        <f t="shared" si="189"/>
        <v>0</v>
      </c>
      <c r="Z278" s="4">
        <f t="shared" si="190"/>
        <v>0</v>
      </c>
      <c r="AA278" s="82">
        <f>+'Finished goods'!$O$3*'PRIVATE CUSTOMER (BtoC)'!T278</f>
        <v>0</v>
      </c>
      <c r="AB278" s="82">
        <f>+'Finished goods'!$P$17*R278</f>
        <v>0</v>
      </c>
      <c r="AC278" s="83">
        <f t="shared" si="191"/>
        <v>0</v>
      </c>
      <c r="AD278" s="93" t="e">
        <f t="shared" si="192"/>
        <v>#DIV/0!</v>
      </c>
      <c r="AE278" s="93">
        <f>+'REVENUE DATA'!$D$17</f>
        <v>30</v>
      </c>
      <c r="AF278" s="90" t="e">
        <f t="shared" si="193"/>
        <v>#DIV/0!</v>
      </c>
      <c r="AG278" s="91" t="e">
        <f t="shared" si="194"/>
        <v>#DIV/0!</v>
      </c>
      <c r="AH278" s="92">
        <f t="shared" si="195"/>
        <v>0</v>
      </c>
    </row>
    <row r="279" spans="1:34" x14ac:dyDescent="0.3">
      <c r="A279" s="223"/>
      <c r="B279" s="4"/>
      <c r="C279" s="4" t="str">
        <f t="shared" si="184"/>
        <v>Caraffa colonna dritta</v>
      </c>
      <c r="D279" s="5">
        <f t="shared" si="184"/>
        <v>2</v>
      </c>
      <c r="E279" s="5">
        <f t="shared" si="184"/>
        <v>1</v>
      </c>
      <c r="F279" s="5">
        <f t="shared" si="184"/>
        <v>1.4</v>
      </c>
      <c r="G279" s="5">
        <f t="shared" si="184"/>
        <v>100</v>
      </c>
      <c r="H279" s="4">
        <f t="shared" si="184"/>
        <v>3.2796365999999998E-4</v>
      </c>
      <c r="I279" s="6">
        <f t="shared" si="184"/>
        <v>0.91101016666666657</v>
      </c>
      <c r="J279" s="6">
        <f t="shared" si="184"/>
        <v>0.81990914999999998</v>
      </c>
      <c r="R279" s="23">
        <v>0</v>
      </c>
      <c r="S279" s="6">
        <f t="shared" si="182"/>
        <v>0</v>
      </c>
      <c r="T279" s="6">
        <f t="shared" si="185"/>
        <v>0</v>
      </c>
      <c r="U279" s="4">
        <f t="shared" si="186"/>
        <v>0</v>
      </c>
      <c r="V279" s="115">
        <f>+S279*$M$3/'COST DATA'!$D$26</f>
        <v>0</v>
      </c>
      <c r="W279" s="16">
        <f t="shared" ref="W279:W288" si="196">+U279*$N$3</f>
        <v>0</v>
      </c>
      <c r="X279" s="27">
        <f t="shared" si="188"/>
        <v>0</v>
      </c>
      <c r="Y279" s="27">
        <f t="shared" si="189"/>
        <v>0</v>
      </c>
      <c r="Z279" s="4">
        <f t="shared" si="190"/>
        <v>0</v>
      </c>
      <c r="AA279" s="82">
        <f>+'Finished goods'!$O$3*'PRIVATE CUSTOMER (BtoC)'!T279</f>
        <v>0</v>
      </c>
      <c r="AB279" s="82">
        <f>+'Finished goods'!$P$18*R279</f>
        <v>0</v>
      </c>
      <c r="AC279" s="83">
        <f t="shared" si="191"/>
        <v>0</v>
      </c>
      <c r="AD279" s="93" t="e">
        <f t="shared" si="192"/>
        <v>#DIV/0!</v>
      </c>
      <c r="AE279" s="93">
        <f>+'REVENUE DATA'!$D$18</f>
        <v>30</v>
      </c>
      <c r="AF279" s="90" t="e">
        <f t="shared" si="193"/>
        <v>#DIV/0!</v>
      </c>
      <c r="AG279" s="91" t="e">
        <f t="shared" si="194"/>
        <v>#DIV/0!</v>
      </c>
      <c r="AH279" s="92">
        <f t="shared" si="195"/>
        <v>0</v>
      </c>
    </row>
    <row r="280" spans="1:34" x14ac:dyDescent="0.3">
      <c r="A280" s="223"/>
      <c r="B280" s="4"/>
      <c r="C280" s="4" t="str">
        <f t="shared" si="184"/>
        <v>Caraffa colonna twist1</v>
      </c>
      <c r="D280" s="5">
        <f t="shared" si="184"/>
        <v>2</v>
      </c>
      <c r="E280" s="5">
        <f t="shared" si="184"/>
        <v>1</v>
      </c>
      <c r="F280" s="5">
        <f t="shared" si="184"/>
        <v>1.41</v>
      </c>
      <c r="G280" s="5">
        <f t="shared" si="184"/>
        <v>101</v>
      </c>
      <c r="H280" s="4">
        <f t="shared" si="184"/>
        <v>3.323221E-4</v>
      </c>
      <c r="I280" s="6">
        <f t="shared" si="184"/>
        <v>0.92311694444444448</v>
      </c>
      <c r="J280" s="6">
        <f t="shared" si="184"/>
        <v>0.83080525000000005</v>
      </c>
      <c r="R280" s="23">
        <v>0</v>
      </c>
      <c r="S280" s="6">
        <f t="shared" si="182"/>
        <v>0</v>
      </c>
      <c r="T280" s="6">
        <f t="shared" si="185"/>
        <v>0</v>
      </c>
      <c r="U280" s="4">
        <f t="shared" si="186"/>
        <v>0</v>
      </c>
      <c r="V280" s="115">
        <f>+S280*$M$3/'COST DATA'!$D$26</f>
        <v>0</v>
      </c>
      <c r="W280" s="16">
        <f t="shared" si="196"/>
        <v>0</v>
      </c>
      <c r="X280" s="27">
        <f t="shared" si="188"/>
        <v>0</v>
      </c>
      <c r="Y280" s="27">
        <f t="shared" si="189"/>
        <v>0</v>
      </c>
      <c r="Z280" s="4">
        <f t="shared" si="190"/>
        <v>0</v>
      </c>
      <c r="AA280" s="82">
        <f>+'Finished goods'!$O$3*'PRIVATE CUSTOMER (BtoC)'!T280</f>
        <v>0</v>
      </c>
      <c r="AB280" s="82">
        <f>+'Finished goods'!$P$19*R280</f>
        <v>0</v>
      </c>
      <c r="AC280" s="83">
        <f t="shared" si="191"/>
        <v>0</v>
      </c>
      <c r="AD280" s="93" t="e">
        <f t="shared" si="192"/>
        <v>#DIV/0!</v>
      </c>
      <c r="AE280" s="93">
        <f>+'REVENUE DATA'!$D$19</f>
        <v>30</v>
      </c>
      <c r="AF280" s="90" t="e">
        <f t="shared" si="193"/>
        <v>#DIV/0!</v>
      </c>
      <c r="AG280" s="91" t="e">
        <f t="shared" si="194"/>
        <v>#DIV/0!</v>
      </c>
      <c r="AH280" s="92">
        <f t="shared" si="195"/>
        <v>0</v>
      </c>
    </row>
    <row r="281" spans="1:34" x14ac:dyDescent="0.3">
      <c r="A281" s="223"/>
      <c r="B281" s="4"/>
      <c r="C281" s="4" t="str">
        <f t="shared" si="184"/>
        <v>Caraffa colonna twist2</v>
      </c>
      <c r="D281" s="5">
        <f t="shared" si="184"/>
        <v>2</v>
      </c>
      <c r="E281" s="5">
        <f t="shared" si="184"/>
        <v>1</v>
      </c>
      <c r="F281" s="5">
        <f t="shared" si="184"/>
        <v>1.45</v>
      </c>
      <c r="G281" s="5">
        <f t="shared" si="184"/>
        <v>105</v>
      </c>
      <c r="H281" s="4">
        <f t="shared" si="184"/>
        <v>3.4271101000000001E-4</v>
      </c>
      <c r="I281" s="6">
        <f t="shared" si="184"/>
        <v>0.95197502777777776</v>
      </c>
      <c r="J281" s="6">
        <f t="shared" si="184"/>
        <v>0.85677752500000004</v>
      </c>
      <c r="R281" s="23">
        <v>0</v>
      </c>
      <c r="S281" s="6">
        <f t="shared" si="182"/>
        <v>0</v>
      </c>
      <c r="T281" s="6">
        <f t="shared" si="185"/>
        <v>0</v>
      </c>
      <c r="U281" s="4">
        <f t="shared" si="186"/>
        <v>0</v>
      </c>
      <c r="V281" s="115">
        <f>+S281*$M$3/'COST DATA'!$D$26</f>
        <v>0</v>
      </c>
      <c r="W281" s="16">
        <f t="shared" si="196"/>
        <v>0</v>
      </c>
      <c r="X281" s="27">
        <f t="shared" si="188"/>
        <v>0</v>
      </c>
      <c r="Y281" s="27">
        <f t="shared" si="189"/>
        <v>0</v>
      </c>
      <c r="Z281" s="4">
        <f t="shared" si="190"/>
        <v>0</v>
      </c>
      <c r="AA281" s="82">
        <f>+'Finished goods'!$O$3*'PRIVATE CUSTOMER (BtoC)'!T281</f>
        <v>0</v>
      </c>
      <c r="AB281" s="82">
        <f>+'Finished goods'!$P$20*R281</f>
        <v>0</v>
      </c>
      <c r="AC281" s="83">
        <f t="shared" si="191"/>
        <v>0</v>
      </c>
      <c r="AD281" s="93" t="e">
        <f t="shared" si="192"/>
        <v>#DIV/0!</v>
      </c>
      <c r="AE281" s="93">
        <f>+'REVENUE DATA'!$D$20</f>
        <v>30</v>
      </c>
      <c r="AF281" s="90" t="e">
        <f t="shared" si="193"/>
        <v>#DIV/0!</v>
      </c>
      <c r="AG281" s="91" t="e">
        <f t="shared" si="194"/>
        <v>#DIV/0!</v>
      </c>
      <c r="AH281" s="92">
        <f t="shared" si="195"/>
        <v>0</v>
      </c>
    </row>
    <row r="282" spans="1:34" x14ac:dyDescent="0.3">
      <c r="A282" s="223"/>
      <c r="B282" s="4"/>
      <c r="C282" s="4" t="str">
        <f t="shared" si="184"/>
        <v>Caraffa colonna twist3</v>
      </c>
      <c r="D282" s="5">
        <f t="shared" si="184"/>
        <v>2</v>
      </c>
      <c r="E282" s="5">
        <f t="shared" si="184"/>
        <v>1</v>
      </c>
      <c r="F282" s="5">
        <f t="shared" si="184"/>
        <v>1.42</v>
      </c>
      <c r="G282" s="5">
        <f t="shared" si="184"/>
        <v>102</v>
      </c>
      <c r="H282" s="4">
        <f t="shared" si="184"/>
        <v>3.3727121999999998E-4</v>
      </c>
      <c r="I282" s="6">
        <f t="shared" si="184"/>
        <v>0.93686449999999988</v>
      </c>
      <c r="J282" s="6">
        <f t="shared" si="184"/>
        <v>0.8431780499999999</v>
      </c>
      <c r="R282" s="23">
        <v>0</v>
      </c>
      <c r="S282" s="6">
        <f t="shared" si="182"/>
        <v>0</v>
      </c>
      <c r="T282" s="6">
        <f t="shared" si="185"/>
        <v>0</v>
      </c>
      <c r="U282" s="4">
        <f t="shared" si="186"/>
        <v>0</v>
      </c>
      <c r="V282" s="115">
        <f>+S282*$M$3/'COST DATA'!$D$26</f>
        <v>0</v>
      </c>
      <c r="W282" s="16">
        <f t="shared" si="196"/>
        <v>0</v>
      </c>
      <c r="X282" s="27">
        <f t="shared" si="188"/>
        <v>0</v>
      </c>
      <c r="Y282" s="27">
        <f t="shared" si="189"/>
        <v>0</v>
      </c>
      <c r="Z282" s="4">
        <f t="shared" si="190"/>
        <v>0</v>
      </c>
      <c r="AA282" s="82">
        <f>+'Finished goods'!$O$3*'PRIVATE CUSTOMER (BtoC)'!T282</f>
        <v>0</v>
      </c>
      <c r="AB282" s="82">
        <f>+'Finished goods'!$P$21*R282</f>
        <v>0</v>
      </c>
      <c r="AC282" s="83">
        <f t="shared" si="191"/>
        <v>0</v>
      </c>
      <c r="AD282" s="93" t="e">
        <f t="shared" si="192"/>
        <v>#DIV/0!</v>
      </c>
      <c r="AE282" s="93">
        <f>+'REVENUE DATA'!$D$21</f>
        <v>30</v>
      </c>
      <c r="AF282" s="90" t="e">
        <f t="shared" si="193"/>
        <v>#DIV/0!</v>
      </c>
      <c r="AG282" s="91" t="e">
        <f t="shared" si="194"/>
        <v>#DIV/0!</v>
      </c>
      <c r="AH282" s="92">
        <f t="shared" si="195"/>
        <v>0</v>
      </c>
    </row>
    <row r="283" spans="1:34" x14ac:dyDescent="0.3">
      <c r="A283" s="223"/>
      <c r="B283" s="4"/>
      <c r="C283" s="4" t="str">
        <f t="shared" si="184"/>
        <v>Bicchiere colonna twist1</v>
      </c>
      <c r="D283" s="5">
        <f t="shared" si="184"/>
        <v>1</v>
      </c>
      <c r="E283" s="5">
        <f t="shared" si="184"/>
        <v>1</v>
      </c>
      <c r="F283" s="5">
        <f t="shared" si="184"/>
        <v>0.57999999999999996</v>
      </c>
      <c r="G283" s="5">
        <f t="shared" si="184"/>
        <v>58</v>
      </c>
      <c r="H283" s="4">
        <f t="shared" si="184"/>
        <v>9.7981700000000004E-5</v>
      </c>
      <c r="I283" s="6">
        <f t="shared" si="184"/>
        <v>0.27217138888888892</v>
      </c>
      <c r="J283" s="6">
        <f t="shared" si="184"/>
        <v>0.24495425000000001</v>
      </c>
      <c r="R283" s="23">
        <v>0</v>
      </c>
      <c r="S283" s="6">
        <f t="shared" si="182"/>
        <v>0</v>
      </c>
      <c r="T283" s="6">
        <f t="shared" si="185"/>
        <v>0</v>
      </c>
      <c r="U283" s="4">
        <f t="shared" si="186"/>
        <v>0</v>
      </c>
      <c r="V283" s="115">
        <f>+S283*$M$3/'COST DATA'!$D$26</f>
        <v>0</v>
      </c>
      <c r="W283" s="16">
        <f t="shared" si="196"/>
        <v>0</v>
      </c>
      <c r="X283" s="27">
        <f t="shared" si="188"/>
        <v>0</v>
      </c>
      <c r="Y283" s="27">
        <f t="shared" si="189"/>
        <v>0</v>
      </c>
      <c r="Z283" s="4">
        <f t="shared" si="190"/>
        <v>0</v>
      </c>
      <c r="AA283" s="82">
        <f>+'Finished goods'!$O$3*'PRIVATE CUSTOMER (BtoC)'!T283</f>
        <v>0</v>
      </c>
      <c r="AB283" s="82">
        <f>+'Finished goods'!$P$22*R283</f>
        <v>0</v>
      </c>
      <c r="AC283" s="83">
        <f t="shared" si="191"/>
        <v>0</v>
      </c>
      <c r="AD283" s="93" t="e">
        <f t="shared" si="192"/>
        <v>#DIV/0!</v>
      </c>
      <c r="AE283" s="93">
        <f>+'REVENUE DATA'!$D$22</f>
        <v>0</v>
      </c>
      <c r="AF283" s="90" t="e">
        <f t="shared" si="193"/>
        <v>#DIV/0!</v>
      </c>
      <c r="AG283" s="91" t="e">
        <f t="shared" si="194"/>
        <v>#DIV/0!</v>
      </c>
      <c r="AH283" s="92">
        <f t="shared" si="195"/>
        <v>0</v>
      </c>
    </row>
    <row r="284" spans="1:34" x14ac:dyDescent="0.3">
      <c r="A284" s="223"/>
      <c r="B284" s="4"/>
      <c r="C284" s="4" t="str">
        <f t="shared" si="184"/>
        <v>Bicchiere colonna twist2</v>
      </c>
      <c r="D284" s="5">
        <f t="shared" si="184"/>
        <v>1</v>
      </c>
      <c r="E284" s="5">
        <f t="shared" si="184"/>
        <v>1</v>
      </c>
      <c r="F284" s="5">
        <f t="shared" si="184"/>
        <v>0.59</v>
      </c>
      <c r="G284" s="5">
        <f t="shared" si="184"/>
        <v>59</v>
      </c>
      <c r="H284" s="4">
        <f t="shared" si="184"/>
        <v>9.7982366999999995E-5</v>
      </c>
      <c r="I284" s="6">
        <f t="shared" si="184"/>
        <v>0.27217324166666662</v>
      </c>
      <c r="J284" s="6">
        <f t="shared" si="184"/>
        <v>0.24495591749999998</v>
      </c>
      <c r="R284" s="23">
        <v>0</v>
      </c>
      <c r="S284" s="6">
        <f t="shared" si="182"/>
        <v>0</v>
      </c>
      <c r="T284" s="6">
        <f t="shared" si="185"/>
        <v>0</v>
      </c>
      <c r="U284" s="4">
        <f t="shared" si="186"/>
        <v>0</v>
      </c>
      <c r="V284" s="115">
        <f>+S284*$M$3/'COST DATA'!$D$26</f>
        <v>0</v>
      </c>
      <c r="W284" s="16">
        <f t="shared" si="196"/>
        <v>0</v>
      </c>
      <c r="X284" s="27">
        <f t="shared" si="188"/>
        <v>0</v>
      </c>
      <c r="Y284" s="27">
        <f t="shared" si="189"/>
        <v>0</v>
      </c>
      <c r="Z284" s="4">
        <f t="shared" si="190"/>
        <v>0</v>
      </c>
      <c r="AA284" s="82">
        <f>+'Finished goods'!$O$3*'PRIVATE CUSTOMER (BtoC)'!T284</f>
        <v>0</v>
      </c>
      <c r="AB284" s="82">
        <f>+'Finished goods'!$P$23*R284</f>
        <v>0</v>
      </c>
      <c r="AC284" s="83">
        <f t="shared" si="191"/>
        <v>0</v>
      </c>
      <c r="AD284" s="93" t="e">
        <f t="shared" si="192"/>
        <v>#DIV/0!</v>
      </c>
      <c r="AE284" s="93">
        <f>+'REVENUE DATA'!$D$23</f>
        <v>0</v>
      </c>
      <c r="AF284" s="90" t="e">
        <f t="shared" si="193"/>
        <v>#DIV/0!</v>
      </c>
      <c r="AG284" s="91" t="e">
        <f t="shared" si="194"/>
        <v>#DIV/0!</v>
      </c>
      <c r="AH284" s="92">
        <f t="shared" si="195"/>
        <v>0</v>
      </c>
    </row>
    <row r="285" spans="1:34" x14ac:dyDescent="0.3">
      <c r="A285" s="223"/>
      <c r="B285" s="4"/>
      <c r="C285" s="4" t="str">
        <f t="shared" si="184"/>
        <v>Bicchiere colonna twist3</v>
      </c>
      <c r="D285" s="5">
        <f t="shared" si="184"/>
        <v>1</v>
      </c>
      <c r="E285" s="5">
        <f t="shared" si="184"/>
        <v>1</v>
      </c>
      <c r="F285" s="5">
        <f t="shared" si="184"/>
        <v>0.59</v>
      </c>
      <c r="G285" s="5">
        <f t="shared" si="184"/>
        <v>59</v>
      </c>
      <c r="H285" s="4">
        <f t="shared" si="184"/>
        <v>9.7984652999999995E-5</v>
      </c>
      <c r="I285" s="6">
        <f t="shared" si="184"/>
        <v>0.27217959166666666</v>
      </c>
      <c r="J285" s="6">
        <f t="shared" si="184"/>
        <v>0.2449616325</v>
      </c>
      <c r="R285" s="23">
        <v>0</v>
      </c>
      <c r="S285" s="6">
        <f t="shared" si="182"/>
        <v>0</v>
      </c>
      <c r="T285" s="6">
        <f t="shared" si="185"/>
        <v>0</v>
      </c>
      <c r="U285" s="4">
        <f t="shared" si="186"/>
        <v>0</v>
      </c>
      <c r="V285" s="115">
        <f>+S285*$M$3/'COST DATA'!$D$26</f>
        <v>0</v>
      </c>
      <c r="W285" s="16">
        <f t="shared" si="196"/>
        <v>0</v>
      </c>
      <c r="X285" s="27">
        <f t="shared" si="188"/>
        <v>0</v>
      </c>
      <c r="Y285" s="27">
        <f t="shared" si="189"/>
        <v>0</v>
      </c>
      <c r="Z285" s="4">
        <f t="shared" si="190"/>
        <v>0</v>
      </c>
      <c r="AA285" s="82">
        <f>+'Finished goods'!$O$3*'PRIVATE CUSTOMER (BtoC)'!T285</f>
        <v>0</v>
      </c>
      <c r="AB285" s="82">
        <f>+'Finished goods'!$P$24*R285</f>
        <v>0</v>
      </c>
      <c r="AC285" s="83">
        <f t="shared" si="191"/>
        <v>0</v>
      </c>
      <c r="AD285" s="93" t="e">
        <f t="shared" si="192"/>
        <v>#DIV/0!</v>
      </c>
      <c r="AE285" s="93">
        <f>+'REVENUE DATA'!$D$24</f>
        <v>0</v>
      </c>
      <c r="AF285" s="90" t="e">
        <f t="shared" si="193"/>
        <v>#DIV/0!</v>
      </c>
      <c r="AG285" s="91" t="e">
        <f t="shared" si="194"/>
        <v>#DIV/0!</v>
      </c>
      <c r="AH285" s="92">
        <f t="shared" si="195"/>
        <v>0</v>
      </c>
    </row>
    <row r="286" spans="1:34" x14ac:dyDescent="0.3">
      <c r="A286" s="223"/>
      <c r="B286" s="4"/>
      <c r="C286" s="4" t="str">
        <f t="shared" si="184"/>
        <v>Bicchiere colonna twist alto</v>
      </c>
      <c r="D286" s="5">
        <f t="shared" si="184"/>
        <v>1</v>
      </c>
      <c r="E286" s="5">
        <f t="shared" si="184"/>
        <v>1</v>
      </c>
      <c r="F286" s="5">
        <f t="shared" si="184"/>
        <v>0.57999999999999996</v>
      </c>
      <c r="G286" s="5">
        <f t="shared" si="184"/>
        <v>58</v>
      </c>
      <c r="H286" s="4">
        <f t="shared" si="184"/>
        <v>9.4065272999999995E-5</v>
      </c>
      <c r="I286" s="6">
        <f t="shared" si="184"/>
        <v>0.26129242499999999</v>
      </c>
      <c r="J286" s="6">
        <f t="shared" si="184"/>
        <v>0.23516318249999998</v>
      </c>
      <c r="R286" s="23">
        <v>0</v>
      </c>
      <c r="S286" s="6">
        <f t="shared" si="182"/>
        <v>0</v>
      </c>
      <c r="T286" s="6">
        <f t="shared" si="185"/>
        <v>0</v>
      </c>
      <c r="U286" s="4">
        <f t="shared" si="186"/>
        <v>0</v>
      </c>
      <c r="V286" s="115">
        <f>+S286*$M$3/'COST DATA'!$D$26</f>
        <v>0</v>
      </c>
      <c r="W286" s="16">
        <f t="shared" si="196"/>
        <v>0</v>
      </c>
      <c r="X286" s="27">
        <f t="shared" si="188"/>
        <v>0</v>
      </c>
      <c r="Y286" s="27">
        <f t="shared" si="189"/>
        <v>0</v>
      </c>
      <c r="Z286" s="4">
        <f t="shared" si="190"/>
        <v>0</v>
      </c>
      <c r="AA286" s="82">
        <f>+'Finished goods'!$O$3*'PRIVATE CUSTOMER (BtoC)'!T286</f>
        <v>0</v>
      </c>
      <c r="AB286" s="82">
        <f>+'Finished goods'!$P$25*R286</f>
        <v>0</v>
      </c>
      <c r="AC286" s="83">
        <f t="shared" si="191"/>
        <v>0</v>
      </c>
      <c r="AD286" s="93" t="e">
        <f t="shared" si="192"/>
        <v>#DIV/0!</v>
      </c>
      <c r="AE286" s="93">
        <f>+'REVENUE DATA'!$D$25</f>
        <v>0</v>
      </c>
      <c r="AF286" s="90" t="e">
        <f t="shared" si="193"/>
        <v>#DIV/0!</v>
      </c>
      <c r="AG286" s="91" t="e">
        <f t="shared" si="194"/>
        <v>#DIV/0!</v>
      </c>
      <c r="AH286" s="92">
        <f t="shared" si="195"/>
        <v>0</v>
      </c>
    </row>
    <row r="287" spans="1:34" x14ac:dyDescent="0.3">
      <c r="A287" s="223"/>
      <c r="B287" s="4"/>
      <c r="C287" s="4" t="str">
        <f t="shared" si="184"/>
        <v>Oliera1</v>
      </c>
      <c r="D287" s="5">
        <f t="shared" si="184"/>
        <v>2</v>
      </c>
      <c r="E287" s="5">
        <f t="shared" si="184"/>
        <v>1</v>
      </c>
      <c r="F287" s="5">
        <f t="shared" si="184"/>
        <v>0.54</v>
      </c>
      <c r="G287" s="5">
        <f t="shared" si="184"/>
        <v>54</v>
      </c>
      <c r="H287" s="4">
        <f t="shared" si="184"/>
        <v>1.830542E-4</v>
      </c>
      <c r="I287" s="6">
        <f t="shared" si="184"/>
        <v>0.50848388888888885</v>
      </c>
      <c r="J287" s="6">
        <f t="shared" si="184"/>
        <v>0.45763549999999997</v>
      </c>
      <c r="R287" s="23">
        <v>0</v>
      </c>
      <c r="S287" s="6">
        <f t="shared" si="182"/>
        <v>0</v>
      </c>
      <c r="T287" s="6">
        <f t="shared" si="185"/>
        <v>0</v>
      </c>
      <c r="U287" s="4">
        <f t="shared" si="186"/>
        <v>0</v>
      </c>
      <c r="V287" s="115">
        <f>+S287*$M$3/'COST DATA'!$D$26</f>
        <v>0</v>
      </c>
      <c r="W287" s="16">
        <f t="shared" si="196"/>
        <v>0</v>
      </c>
      <c r="X287" s="27">
        <f t="shared" si="188"/>
        <v>0</v>
      </c>
      <c r="Y287" s="27">
        <f t="shared" si="189"/>
        <v>0</v>
      </c>
      <c r="Z287" s="4">
        <f t="shared" si="190"/>
        <v>0</v>
      </c>
      <c r="AA287" s="82">
        <f>+'Finished goods'!$O$3*'PRIVATE CUSTOMER (BtoC)'!T287</f>
        <v>0</v>
      </c>
      <c r="AB287" s="82">
        <f>+'Finished goods'!$P$26*R287</f>
        <v>0</v>
      </c>
      <c r="AC287" s="83">
        <f t="shared" si="191"/>
        <v>0</v>
      </c>
      <c r="AD287" s="93" t="e">
        <f t="shared" si="192"/>
        <v>#DIV/0!</v>
      </c>
      <c r="AE287" s="93">
        <f>+'REVENUE DATA'!$D$26</f>
        <v>0</v>
      </c>
      <c r="AF287" s="90" t="e">
        <f t="shared" si="193"/>
        <v>#DIV/0!</v>
      </c>
      <c r="AG287" s="91" t="e">
        <f t="shared" si="194"/>
        <v>#DIV/0!</v>
      </c>
      <c r="AH287" s="92">
        <f t="shared" si="195"/>
        <v>0</v>
      </c>
    </row>
    <row r="288" spans="1:34" ht="15" thickBot="1" x14ac:dyDescent="0.35">
      <c r="A288" s="224"/>
      <c r="B288" s="4"/>
      <c r="C288" s="4" t="str">
        <f t="shared" si="184"/>
        <v>Piatto spirale</v>
      </c>
      <c r="D288" s="5">
        <f t="shared" si="184"/>
        <v>4</v>
      </c>
      <c r="E288" s="5">
        <f t="shared" si="184"/>
        <v>5</v>
      </c>
      <c r="F288" s="5">
        <f t="shared" si="184"/>
        <v>0.25</v>
      </c>
      <c r="G288" s="5">
        <f t="shared" si="184"/>
        <v>25</v>
      </c>
      <c r="H288" s="4">
        <f t="shared" si="184"/>
        <v>1.575448E-4</v>
      </c>
      <c r="I288" s="6">
        <f t="shared" si="184"/>
        <v>0.43762444444444443</v>
      </c>
      <c r="J288" s="6">
        <f t="shared" si="184"/>
        <v>0.39386199999999999</v>
      </c>
      <c r="R288" s="23">
        <v>0</v>
      </c>
      <c r="S288" s="6">
        <f t="shared" si="182"/>
        <v>0</v>
      </c>
      <c r="T288" s="6">
        <f t="shared" si="185"/>
        <v>0</v>
      </c>
      <c r="U288" s="4">
        <f t="shared" si="186"/>
        <v>0</v>
      </c>
      <c r="V288" s="116">
        <f>+S288*$M$3/'COST DATA'!$D$26</f>
        <v>0</v>
      </c>
      <c r="W288" s="117">
        <f t="shared" si="196"/>
        <v>0</v>
      </c>
      <c r="X288" s="118">
        <f t="shared" si="188"/>
        <v>0</v>
      </c>
      <c r="Y288" s="118">
        <f t="shared" si="189"/>
        <v>0</v>
      </c>
      <c r="Z288" s="119">
        <f t="shared" si="190"/>
        <v>0</v>
      </c>
      <c r="AA288" s="85">
        <f>+'Finished goods'!$O$3*'PRIVATE CUSTOMER (BtoC)'!T288</f>
        <v>0</v>
      </c>
      <c r="AB288" s="85">
        <f>+'Finished goods'!$P$27*R288</f>
        <v>0</v>
      </c>
      <c r="AC288" s="86">
        <f t="shared" si="191"/>
        <v>0</v>
      </c>
      <c r="AD288" s="93" t="e">
        <f t="shared" si="192"/>
        <v>#DIV/0!</v>
      </c>
      <c r="AE288" s="93">
        <f>+'REVENUE DATA'!$D$27</f>
        <v>0</v>
      </c>
      <c r="AF288" s="90" t="e">
        <f t="shared" si="193"/>
        <v>#DIV/0!</v>
      </c>
      <c r="AG288" s="91" t="e">
        <f t="shared" si="194"/>
        <v>#DIV/0!</v>
      </c>
      <c r="AH288" s="92">
        <f t="shared" si="195"/>
        <v>0</v>
      </c>
    </row>
    <row r="291" spans="1:34" ht="18.600000000000001" thickBot="1" x14ac:dyDescent="0.4">
      <c r="D291" s="237" t="s">
        <v>40</v>
      </c>
      <c r="E291" s="237"/>
      <c r="F291" s="237"/>
      <c r="G291" s="237"/>
      <c r="H291" s="237"/>
      <c r="I291" s="237"/>
      <c r="J291" s="237"/>
      <c r="K291" s="237"/>
      <c r="L291" s="237"/>
      <c r="M291" s="237"/>
      <c r="N291" s="237"/>
      <c r="O291" s="237"/>
      <c r="P291" s="237"/>
      <c r="Q291" s="237"/>
      <c r="R291" s="10" t="s">
        <v>32</v>
      </c>
      <c r="S291" s="87">
        <f>+S293/60/7</f>
        <v>0</v>
      </c>
      <c r="T291" s="88" t="s">
        <v>83</v>
      </c>
    </row>
    <row r="292" spans="1:34" x14ac:dyDescent="0.3">
      <c r="D292" s="236" t="s">
        <v>33</v>
      </c>
      <c r="E292" s="236"/>
      <c r="F292" s="236"/>
      <c r="G292" s="236"/>
      <c r="H292" s="236"/>
      <c r="I292" s="236"/>
      <c r="J292" s="236"/>
      <c r="M292" s="236" t="s">
        <v>36</v>
      </c>
      <c r="N292" s="236"/>
      <c r="O292" s="236"/>
      <c r="P292" s="236"/>
      <c r="Q292" s="236"/>
      <c r="V292" s="238" t="s">
        <v>135</v>
      </c>
      <c r="W292" s="239"/>
      <c r="X292" s="239"/>
      <c r="Y292" s="239"/>
      <c r="Z292" s="239"/>
      <c r="AA292" s="239"/>
      <c r="AB292" s="239"/>
      <c r="AC292" s="240"/>
    </row>
    <row r="293" spans="1:34" ht="18" x14ac:dyDescent="0.35">
      <c r="F293" s="225" t="s">
        <v>44</v>
      </c>
      <c r="G293" s="225"/>
      <c r="I293" s="20">
        <f>SUBTOTAL(9,I295:I317)</f>
        <v>59.570075669444442</v>
      </c>
      <c r="J293" s="20">
        <f>SUBTOTAL(9,J295:J317)</f>
        <v>53.613068102499987</v>
      </c>
      <c r="K293" s="1">
        <f>+'Finished goods'!$I$3</f>
        <v>2500</v>
      </c>
      <c r="L293" s="1">
        <f>+'Finished goods'!$J$3</f>
        <v>0.9</v>
      </c>
      <c r="M293" s="15">
        <f>+'Finished goods'!$K$3</f>
        <v>0.50772709939119998</v>
      </c>
      <c r="N293" s="15">
        <f>+'Finished goods'!$L$3</f>
        <v>6.7889999999999999E-3</v>
      </c>
      <c r="O293" s="13">
        <f>+'Finished goods'!$M$3</f>
        <v>0.15750000000000003</v>
      </c>
      <c r="P293" s="46">
        <f>+'Finished goods'!$N$3</f>
        <v>5.8880308880308881E-2</v>
      </c>
      <c r="Q293" s="1"/>
      <c r="S293" s="17">
        <f>SUBTOTAL(9,S295:S317)</f>
        <v>0</v>
      </c>
      <c r="T293" s="17">
        <f>SUBTOTAL(9,T295:T317)</f>
        <v>0</v>
      </c>
      <c r="U293" s="75">
        <f>SUBTOTAL(9,U295:U317)</f>
        <v>0</v>
      </c>
      <c r="V293" s="77">
        <f t="shared" ref="V293:AC293" si="197">SUBTOTAL(9,V295:V317)</f>
        <v>0</v>
      </c>
      <c r="W293" s="17">
        <f t="shared" si="197"/>
        <v>0</v>
      </c>
      <c r="X293" s="17">
        <f t="shared" si="197"/>
        <v>0</v>
      </c>
      <c r="Y293" s="17">
        <f t="shared" si="197"/>
        <v>0</v>
      </c>
      <c r="Z293" s="17">
        <f t="shared" si="197"/>
        <v>0</v>
      </c>
      <c r="AA293" s="17">
        <f t="shared" si="197"/>
        <v>0</v>
      </c>
      <c r="AB293" s="17">
        <f t="shared" si="197"/>
        <v>0</v>
      </c>
      <c r="AC293" s="78">
        <f t="shared" si="197"/>
        <v>0</v>
      </c>
      <c r="AF293" s="225" t="s">
        <v>118</v>
      </c>
      <c r="AG293" s="225"/>
      <c r="AH293" s="108">
        <f t="shared" ref="AH293" si="198">SUBTOTAL(9,AH295:AH317)</f>
        <v>0</v>
      </c>
    </row>
    <row r="294" spans="1:34" x14ac:dyDescent="0.3">
      <c r="A294" s="1" t="s">
        <v>145</v>
      </c>
      <c r="B294" s="1" t="s">
        <v>30</v>
      </c>
      <c r="C294" s="1" t="s">
        <v>0</v>
      </c>
      <c r="D294" s="1" t="s">
        <v>4</v>
      </c>
      <c r="E294" s="1" t="s">
        <v>5</v>
      </c>
      <c r="F294" s="1" t="s">
        <v>45</v>
      </c>
      <c r="G294" s="1" t="s">
        <v>57</v>
      </c>
      <c r="H294" s="1" t="s">
        <v>6</v>
      </c>
      <c r="I294" s="1" t="s">
        <v>2</v>
      </c>
      <c r="J294" s="1" t="s">
        <v>7</v>
      </c>
      <c r="K294" s="1" t="s">
        <v>31</v>
      </c>
      <c r="L294" s="1" t="s">
        <v>8</v>
      </c>
      <c r="M294" s="1" t="s">
        <v>34</v>
      </c>
      <c r="N294" s="1" t="s">
        <v>35</v>
      </c>
      <c r="O294" s="1" t="s">
        <v>37</v>
      </c>
      <c r="P294" s="1" t="s">
        <v>93</v>
      </c>
      <c r="Q294" s="1" t="s">
        <v>94</v>
      </c>
      <c r="R294" s="11" t="s">
        <v>39</v>
      </c>
      <c r="S294" s="2" t="s">
        <v>43</v>
      </c>
      <c r="T294" s="2" t="s">
        <v>2</v>
      </c>
      <c r="U294" s="76" t="s">
        <v>7</v>
      </c>
      <c r="V294" s="79" t="str">
        <f>+V4</f>
        <v>energia €/h</v>
      </c>
      <c r="W294" s="79" t="str">
        <f t="shared" ref="W294:AB294" si="199">+W4</f>
        <v>materiale €/Kg</v>
      </c>
      <c r="X294" s="79" t="str">
        <f t="shared" si="199"/>
        <v>mod</v>
      </c>
      <c r="Y294" s="79" t="str">
        <f t="shared" si="199"/>
        <v>ammort</v>
      </c>
      <c r="Z294" s="79" t="str">
        <f t="shared" si="199"/>
        <v>Accensione</v>
      </c>
      <c r="AA294" s="79" t="str">
        <f t="shared" si="199"/>
        <v>trasporto</v>
      </c>
      <c r="AB294" s="79" t="str">
        <f t="shared" si="199"/>
        <v>forniture</v>
      </c>
      <c r="AC294" s="80" t="s">
        <v>42</v>
      </c>
      <c r="AD294" s="53" t="s">
        <v>116</v>
      </c>
      <c r="AE294" s="1" t="s">
        <v>117</v>
      </c>
      <c r="AF294" s="1" t="s">
        <v>119</v>
      </c>
      <c r="AG294" s="1" t="s">
        <v>120</v>
      </c>
      <c r="AH294" s="1" t="s">
        <v>121</v>
      </c>
    </row>
    <row r="295" spans="1:34" x14ac:dyDescent="0.3">
      <c r="A295" s="222" t="s">
        <v>421</v>
      </c>
      <c r="B295" s="4"/>
      <c r="C295" s="4" t="str">
        <f>+C266</f>
        <v>Tavolo twist Logo</v>
      </c>
      <c r="D295" s="5">
        <f>+D266</f>
        <v>8</v>
      </c>
      <c r="E295" s="5">
        <f t="shared" ref="E295:J295" si="200">+E266</f>
        <v>10</v>
      </c>
      <c r="F295" s="5">
        <f t="shared" si="200"/>
        <v>1.22</v>
      </c>
      <c r="G295" s="5">
        <f t="shared" si="200"/>
        <v>82</v>
      </c>
      <c r="H295" s="4">
        <f t="shared" si="200"/>
        <v>7.9769999999999997E-3</v>
      </c>
      <c r="I295" s="6">
        <f t="shared" si="200"/>
        <v>22.158333333333331</v>
      </c>
      <c r="J295" s="6">
        <f t="shared" si="200"/>
        <v>19.942499999999999</v>
      </c>
      <c r="R295" s="23">
        <v>0</v>
      </c>
      <c r="S295" s="6">
        <f t="shared" ref="S295:S317" si="201">+G295*$R295</f>
        <v>0</v>
      </c>
      <c r="T295" s="6">
        <f t="shared" ref="T295" si="202">+I295*$R295</f>
        <v>0</v>
      </c>
      <c r="U295" s="4">
        <f>+J295*$R295</f>
        <v>0</v>
      </c>
      <c r="V295" s="115">
        <f>+S295*$M$3/'COST DATA'!$D$26</f>
        <v>0</v>
      </c>
      <c r="W295" s="16">
        <f>+U295*$N$3</f>
        <v>0</v>
      </c>
      <c r="X295" s="27">
        <f>+S295*$O$3</f>
        <v>0</v>
      </c>
      <c r="Y295" s="27">
        <f>+S295*$P$3</f>
        <v>0</v>
      </c>
      <c r="Z295" s="4">
        <f>+(S295/$S$3)*($S$1)</f>
        <v>0</v>
      </c>
      <c r="AA295" s="82">
        <f>+'Finished goods'!$O$3*'PRIVATE CUSTOMER (BtoC)'!T295</f>
        <v>0</v>
      </c>
      <c r="AB295" s="82">
        <f>+'Finished goods'!$P$5*R295</f>
        <v>0</v>
      </c>
      <c r="AC295" s="83">
        <f>SUM(V295:AB295)</f>
        <v>0</v>
      </c>
      <c r="AD295" s="93" t="e">
        <f>+AC295/R295</f>
        <v>#DIV/0!</v>
      </c>
      <c r="AE295" s="93">
        <f>+'REVENUE DATA'!$D$5</f>
        <v>1200</v>
      </c>
      <c r="AF295" s="90" t="e">
        <f>+AE295-AD295</f>
        <v>#DIV/0!</v>
      </c>
      <c r="AG295" s="91" t="e">
        <f>+AF295/AD295</f>
        <v>#DIV/0!</v>
      </c>
      <c r="AH295" s="92">
        <f>+AE295*R295</f>
        <v>0</v>
      </c>
    </row>
    <row r="296" spans="1:34" x14ac:dyDescent="0.3">
      <c r="A296" s="223"/>
      <c r="B296" s="4"/>
      <c r="C296" s="4" t="str">
        <f t="shared" ref="C296:J317" si="203">+C267</f>
        <v xml:space="preserve">Vaso bitorzolo curvo </v>
      </c>
      <c r="D296" s="5">
        <f t="shared" si="203"/>
        <v>4</v>
      </c>
      <c r="E296" s="5">
        <f t="shared" si="203"/>
        <v>2</v>
      </c>
      <c r="F296" s="5">
        <f t="shared" si="203"/>
        <v>5.21</v>
      </c>
      <c r="G296" s="5">
        <f t="shared" si="203"/>
        <v>321</v>
      </c>
      <c r="H296" s="4">
        <f t="shared" si="203"/>
        <v>6.0029599999999995E-4</v>
      </c>
      <c r="I296" s="6">
        <f t="shared" si="203"/>
        <v>1.6674888888888888</v>
      </c>
      <c r="J296" s="6">
        <f t="shared" si="203"/>
        <v>1.50074</v>
      </c>
      <c r="R296" s="23">
        <v>0</v>
      </c>
      <c r="S296" s="6">
        <f t="shared" si="201"/>
        <v>0</v>
      </c>
      <c r="T296" s="6">
        <f t="shared" ref="T296:T317" si="204">+H296*$R296</f>
        <v>0</v>
      </c>
      <c r="U296" s="4">
        <f t="shared" ref="U296:U317" si="205">+J296*$R296</f>
        <v>0</v>
      </c>
      <c r="V296" s="115">
        <f>+S296*$M$3/'COST DATA'!$D$26</f>
        <v>0</v>
      </c>
      <c r="W296" s="16">
        <f t="shared" ref="W296:W306" si="206">+U296*$N$3</f>
        <v>0</v>
      </c>
      <c r="X296" s="27">
        <f t="shared" ref="X296:X317" si="207">+S296*$O$3</f>
        <v>0</v>
      </c>
      <c r="Y296" s="27">
        <f t="shared" ref="Y296:Y317" si="208">+S296*$P$3</f>
        <v>0</v>
      </c>
      <c r="Z296" s="4">
        <f t="shared" ref="Z296:Z317" si="209">+(S296/$S$3)*($S$1)</f>
        <v>0</v>
      </c>
      <c r="AA296" s="82">
        <f>+'Finished goods'!$O$3*'PRIVATE CUSTOMER (BtoC)'!T296</f>
        <v>0</v>
      </c>
      <c r="AB296" s="82">
        <f>+'Finished goods'!$P$6*R296</f>
        <v>0</v>
      </c>
      <c r="AC296" s="83">
        <f t="shared" ref="AC296:AC317" si="210">SUM(V296:AB296)</f>
        <v>0</v>
      </c>
      <c r="AD296" s="93" t="e">
        <f t="shared" ref="AD296:AD317" si="211">+AC296/R296</f>
        <v>#DIV/0!</v>
      </c>
      <c r="AE296" s="93">
        <f>+'REVENUE DATA'!$D$6</f>
        <v>350</v>
      </c>
      <c r="AF296" s="90" t="e">
        <f t="shared" ref="AF296:AF317" si="212">+AE296-AD296</f>
        <v>#DIV/0!</v>
      </c>
      <c r="AG296" s="91" t="e">
        <f t="shared" ref="AG296:AG317" si="213">+AF296/AD296</f>
        <v>#DIV/0!</v>
      </c>
      <c r="AH296" s="92">
        <f t="shared" ref="AH296:AH317" si="214">+AE296*R296</f>
        <v>0</v>
      </c>
    </row>
    <row r="297" spans="1:34" x14ac:dyDescent="0.3">
      <c r="A297" s="223"/>
      <c r="B297" s="4"/>
      <c r="C297" s="4" t="str">
        <f t="shared" si="203"/>
        <v>Vaso bitorzolo twist</v>
      </c>
      <c r="D297" s="5">
        <f t="shared" si="203"/>
        <v>4</v>
      </c>
      <c r="E297" s="5">
        <f t="shared" si="203"/>
        <v>2</v>
      </c>
      <c r="F297" s="5">
        <f t="shared" si="203"/>
        <v>5.15</v>
      </c>
      <c r="G297" s="5">
        <f t="shared" si="203"/>
        <v>315</v>
      </c>
      <c r="H297" s="4">
        <f t="shared" si="203"/>
        <v>8.005105E-4</v>
      </c>
      <c r="I297" s="6">
        <f t="shared" si="203"/>
        <v>2.2236402777777777</v>
      </c>
      <c r="J297" s="6">
        <f t="shared" si="203"/>
        <v>2.0012762500000001</v>
      </c>
      <c r="R297" s="23">
        <v>0</v>
      </c>
      <c r="S297" s="6">
        <f t="shared" si="201"/>
        <v>0</v>
      </c>
      <c r="T297" s="6">
        <f t="shared" si="204"/>
        <v>0</v>
      </c>
      <c r="U297" s="4">
        <f t="shared" si="205"/>
        <v>0</v>
      </c>
      <c r="V297" s="115">
        <f>+S297*$M$3/'COST DATA'!$D$26</f>
        <v>0</v>
      </c>
      <c r="W297" s="16">
        <f t="shared" si="206"/>
        <v>0</v>
      </c>
      <c r="X297" s="27">
        <f t="shared" si="207"/>
        <v>0</v>
      </c>
      <c r="Y297" s="27">
        <f t="shared" si="208"/>
        <v>0</v>
      </c>
      <c r="Z297" s="4">
        <f t="shared" si="209"/>
        <v>0</v>
      </c>
      <c r="AA297" s="82">
        <f>+'Finished goods'!$O$3*'PRIVATE CUSTOMER (BtoC)'!T297</f>
        <v>0</v>
      </c>
      <c r="AB297" s="82">
        <f>+'Finished goods'!$P$7*R297</f>
        <v>0</v>
      </c>
      <c r="AC297" s="83">
        <f t="shared" si="210"/>
        <v>0</v>
      </c>
      <c r="AD297" s="93" t="e">
        <f t="shared" si="211"/>
        <v>#DIV/0!</v>
      </c>
      <c r="AE297" s="93">
        <f>+'REVENUE DATA'!$D$7</f>
        <v>350</v>
      </c>
      <c r="AF297" s="90" t="e">
        <f t="shared" si="212"/>
        <v>#DIV/0!</v>
      </c>
      <c r="AG297" s="91" t="e">
        <f t="shared" si="213"/>
        <v>#DIV/0!</v>
      </c>
      <c r="AH297" s="92">
        <f t="shared" si="214"/>
        <v>0</v>
      </c>
    </row>
    <row r="298" spans="1:34" x14ac:dyDescent="0.3">
      <c r="A298" s="223"/>
      <c r="B298" s="4"/>
      <c r="C298" s="4" t="str">
        <f t="shared" si="203"/>
        <v>Vaso bitorzolo dritto</v>
      </c>
      <c r="D298" s="5">
        <f t="shared" si="203"/>
        <v>4</v>
      </c>
      <c r="E298" s="5">
        <f t="shared" si="203"/>
        <v>2</v>
      </c>
      <c r="F298" s="5">
        <f t="shared" si="203"/>
        <v>4.4800000000000004</v>
      </c>
      <c r="G298" s="5">
        <f t="shared" si="203"/>
        <v>288</v>
      </c>
      <c r="H298" s="4">
        <f t="shared" si="203"/>
        <v>8.2321687099999998E-4</v>
      </c>
      <c r="I298" s="6">
        <f t="shared" si="203"/>
        <v>2.2867135305555553</v>
      </c>
      <c r="J298" s="6">
        <f t="shared" si="203"/>
        <v>2.0580421775</v>
      </c>
      <c r="R298" s="23">
        <v>0</v>
      </c>
      <c r="S298" s="6">
        <f t="shared" si="201"/>
        <v>0</v>
      </c>
      <c r="T298" s="6">
        <f t="shared" si="204"/>
        <v>0</v>
      </c>
      <c r="U298" s="4">
        <f t="shared" si="205"/>
        <v>0</v>
      </c>
      <c r="V298" s="115">
        <f>+S298*$M$3/'COST DATA'!$D$26</f>
        <v>0</v>
      </c>
      <c r="W298" s="16">
        <f t="shared" si="206"/>
        <v>0</v>
      </c>
      <c r="X298" s="27">
        <f t="shared" si="207"/>
        <v>0</v>
      </c>
      <c r="Y298" s="27">
        <f t="shared" si="208"/>
        <v>0</v>
      </c>
      <c r="Z298" s="4">
        <f t="shared" si="209"/>
        <v>0</v>
      </c>
      <c r="AA298" s="82">
        <f>+'Finished goods'!$O$3*'PRIVATE CUSTOMER (BtoC)'!T298</f>
        <v>0</v>
      </c>
      <c r="AB298" s="82">
        <f>+'Finished goods'!$P$8*R298</f>
        <v>0</v>
      </c>
      <c r="AC298" s="83">
        <f t="shared" si="210"/>
        <v>0</v>
      </c>
      <c r="AD298" s="93" t="e">
        <f t="shared" si="211"/>
        <v>#DIV/0!</v>
      </c>
      <c r="AE298" s="93">
        <f>+'REVENUE DATA'!$D$8</f>
        <v>350</v>
      </c>
      <c r="AF298" s="90" t="e">
        <f t="shared" si="212"/>
        <v>#DIV/0!</v>
      </c>
      <c r="AG298" s="91" t="e">
        <f t="shared" si="213"/>
        <v>#DIV/0!</v>
      </c>
      <c r="AH298" s="92">
        <f t="shared" si="214"/>
        <v>0</v>
      </c>
    </row>
    <row r="299" spans="1:34" x14ac:dyDescent="0.3">
      <c r="A299" s="223"/>
      <c r="B299" s="4"/>
      <c r="C299" s="4" t="str">
        <f t="shared" si="203"/>
        <v>Porta riviste</v>
      </c>
      <c r="D299" s="5">
        <f t="shared" si="203"/>
        <v>10</v>
      </c>
      <c r="E299" s="5">
        <f t="shared" si="203"/>
        <v>10</v>
      </c>
      <c r="F299" s="5">
        <f t="shared" si="203"/>
        <v>0.42</v>
      </c>
      <c r="G299" s="5">
        <f t="shared" si="203"/>
        <v>42</v>
      </c>
      <c r="H299" s="4">
        <f t="shared" si="203"/>
        <v>3.5606798E-3</v>
      </c>
      <c r="I299" s="6">
        <f t="shared" si="203"/>
        <v>9.890777222222221</v>
      </c>
      <c r="J299" s="6">
        <f t="shared" si="203"/>
        <v>8.9016994999999994</v>
      </c>
      <c r="R299" s="23">
        <v>0</v>
      </c>
      <c r="S299" s="6">
        <f t="shared" si="201"/>
        <v>0</v>
      </c>
      <c r="T299" s="6">
        <f t="shared" si="204"/>
        <v>0</v>
      </c>
      <c r="U299" s="4">
        <f t="shared" si="205"/>
        <v>0</v>
      </c>
      <c r="V299" s="115">
        <f>+S299*$M$3/'COST DATA'!$D$26</f>
        <v>0</v>
      </c>
      <c r="W299" s="16">
        <f t="shared" si="206"/>
        <v>0</v>
      </c>
      <c r="X299" s="27">
        <f t="shared" si="207"/>
        <v>0</v>
      </c>
      <c r="Y299" s="27">
        <f t="shared" si="208"/>
        <v>0</v>
      </c>
      <c r="Z299" s="4">
        <f t="shared" si="209"/>
        <v>0</v>
      </c>
      <c r="AA299" s="82">
        <f>+'Finished goods'!$O$3*'PRIVATE CUSTOMER (BtoC)'!T299</f>
        <v>0</v>
      </c>
      <c r="AB299" s="82">
        <f>+'Finished goods'!$P$9*R299</f>
        <v>0</v>
      </c>
      <c r="AC299" s="83">
        <f t="shared" si="210"/>
        <v>0</v>
      </c>
      <c r="AD299" s="93" t="e">
        <f t="shared" si="211"/>
        <v>#DIV/0!</v>
      </c>
      <c r="AE299" s="93">
        <f>+'REVENUE DATA'!$D$9</f>
        <v>180</v>
      </c>
      <c r="AF299" s="90" t="e">
        <f t="shared" si="212"/>
        <v>#DIV/0!</v>
      </c>
      <c r="AG299" s="91" t="e">
        <f t="shared" si="213"/>
        <v>#DIV/0!</v>
      </c>
      <c r="AH299" s="92">
        <f t="shared" si="214"/>
        <v>0</v>
      </c>
    </row>
    <row r="300" spans="1:34" x14ac:dyDescent="0.3">
      <c r="A300" s="223"/>
      <c r="B300" s="4"/>
      <c r="C300" s="4" t="str">
        <f t="shared" si="203"/>
        <v>Lampada 90 grossa</v>
      </c>
      <c r="D300" s="5">
        <f t="shared" si="203"/>
        <v>8</v>
      </c>
      <c r="E300" s="5">
        <f t="shared" si="203"/>
        <v>10</v>
      </c>
      <c r="F300" s="5">
        <f t="shared" si="203"/>
        <v>1.39</v>
      </c>
      <c r="G300" s="5">
        <f t="shared" si="203"/>
        <v>99</v>
      </c>
      <c r="H300" s="4">
        <f t="shared" si="203"/>
        <v>1.7366300000000001E-3</v>
      </c>
      <c r="I300" s="6">
        <f t="shared" si="203"/>
        <v>4.8239722222222232</v>
      </c>
      <c r="J300" s="6">
        <f t="shared" si="203"/>
        <v>4.3415750000000006</v>
      </c>
      <c r="R300" s="23">
        <v>0</v>
      </c>
      <c r="S300" s="6">
        <f t="shared" si="201"/>
        <v>0</v>
      </c>
      <c r="T300" s="6">
        <f t="shared" si="204"/>
        <v>0</v>
      </c>
      <c r="U300" s="4">
        <f t="shared" si="205"/>
        <v>0</v>
      </c>
      <c r="V300" s="115">
        <f>+S300*$M$3/'COST DATA'!$D$26</f>
        <v>0</v>
      </c>
      <c r="W300" s="16">
        <f t="shared" si="206"/>
        <v>0</v>
      </c>
      <c r="X300" s="27">
        <f t="shared" si="207"/>
        <v>0</v>
      </c>
      <c r="Y300" s="27">
        <f t="shared" si="208"/>
        <v>0</v>
      </c>
      <c r="Z300" s="4">
        <f t="shared" si="209"/>
        <v>0</v>
      </c>
      <c r="AA300" s="82">
        <f>+'Finished goods'!$O$3*'PRIVATE CUSTOMER (BtoC)'!T300</f>
        <v>0</v>
      </c>
      <c r="AB300" s="82">
        <f>+'Finished goods'!$P$10*R300</f>
        <v>0</v>
      </c>
      <c r="AC300" s="83">
        <f t="shared" si="210"/>
        <v>0</v>
      </c>
      <c r="AD300" s="93" t="e">
        <f t="shared" si="211"/>
        <v>#DIV/0!</v>
      </c>
      <c r="AE300" s="93">
        <f>+'REVENUE DATA'!$D$10</f>
        <v>450</v>
      </c>
      <c r="AF300" s="90" t="e">
        <f t="shared" si="212"/>
        <v>#DIV/0!</v>
      </c>
      <c r="AG300" s="91" t="e">
        <f t="shared" si="213"/>
        <v>#DIV/0!</v>
      </c>
      <c r="AH300" s="92">
        <f t="shared" si="214"/>
        <v>0</v>
      </c>
    </row>
    <row r="301" spans="1:34" x14ac:dyDescent="0.3">
      <c r="A301" s="223"/>
      <c r="B301" s="4"/>
      <c r="C301" s="4" t="str">
        <f t="shared" si="203"/>
        <v>Lampada 90 piccola</v>
      </c>
      <c r="D301" s="5">
        <f t="shared" si="203"/>
        <v>5</v>
      </c>
      <c r="E301" s="5">
        <f t="shared" si="203"/>
        <v>10</v>
      </c>
      <c r="F301" s="5">
        <f t="shared" si="203"/>
        <v>1.1499999999999999</v>
      </c>
      <c r="G301" s="5">
        <f t="shared" si="203"/>
        <v>75</v>
      </c>
      <c r="H301" s="4">
        <f t="shared" si="203"/>
        <v>8.1557296000000004E-4</v>
      </c>
      <c r="I301" s="6">
        <f t="shared" si="203"/>
        <v>2.2654804444444445</v>
      </c>
      <c r="J301" s="6">
        <f t="shared" si="203"/>
        <v>2.0389324000000002</v>
      </c>
      <c r="R301" s="23">
        <v>0</v>
      </c>
      <c r="S301" s="6">
        <f t="shared" si="201"/>
        <v>0</v>
      </c>
      <c r="T301" s="6">
        <f t="shared" si="204"/>
        <v>0</v>
      </c>
      <c r="U301" s="4">
        <f t="shared" si="205"/>
        <v>0</v>
      </c>
      <c r="V301" s="115">
        <f>+S301*$M$3/'COST DATA'!$D$26</f>
        <v>0</v>
      </c>
      <c r="W301" s="16">
        <f t="shared" si="206"/>
        <v>0</v>
      </c>
      <c r="X301" s="27">
        <f t="shared" si="207"/>
        <v>0</v>
      </c>
      <c r="Y301" s="27">
        <f t="shared" si="208"/>
        <v>0</v>
      </c>
      <c r="Z301" s="4">
        <f t="shared" si="209"/>
        <v>0</v>
      </c>
      <c r="AA301" s="82">
        <f>+'Finished goods'!$O$3*'PRIVATE CUSTOMER (BtoC)'!T301</f>
        <v>0</v>
      </c>
      <c r="AB301" s="82">
        <f>+'Finished goods'!$P$11*R301</f>
        <v>0</v>
      </c>
      <c r="AC301" s="83">
        <f t="shared" si="210"/>
        <v>0</v>
      </c>
      <c r="AD301" s="93" t="e">
        <f t="shared" si="211"/>
        <v>#DIV/0!</v>
      </c>
      <c r="AE301" s="93">
        <f>+'REVENUE DATA'!$D$11</f>
        <v>200</v>
      </c>
      <c r="AF301" s="90" t="e">
        <f t="shared" si="212"/>
        <v>#DIV/0!</v>
      </c>
      <c r="AG301" s="91" t="e">
        <f t="shared" si="213"/>
        <v>#DIV/0!</v>
      </c>
      <c r="AH301" s="92">
        <f t="shared" si="214"/>
        <v>0</v>
      </c>
    </row>
    <row r="302" spans="1:34" x14ac:dyDescent="0.3">
      <c r="A302" s="223"/>
      <c r="B302" s="4"/>
      <c r="C302" s="4" t="str">
        <f t="shared" si="203"/>
        <v>Vaso Logo</v>
      </c>
      <c r="D302" s="5">
        <f t="shared" si="203"/>
        <v>5</v>
      </c>
      <c r="E302" s="5">
        <f t="shared" si="203"/>
        <v>10</v>
      </c>
      <c r="F302" s="5">
        <f t="shared" si="203"/>
        <v>0.39</v>
      </c>
      <c r="G302" s="5">
        <f t="shared" si="203"/>
        <v>39</v>
      </c>
      <c r="H302" s="4">
        <f t="shared" si="203"/>
        <v>1.1639584900000001E-3</v>
      </c>
      <c r="I302" s="6">
        <f t="shared" si="203"/>
        <v>3.2332180277777778</v>
      </c>
      <c r="J302" s="6">
        <f t="shared" si="203"/>
        <v>2.9098962250000002</v>
      </c>
      <c r="R302" s="23">
        <v>0</v>
      </c>
      <c r="S302" s="6">
        <f t="shared" si="201"/>
        <v>0</v>
      </c>
      <c r="T302" s="6">
        <f t="shared" si="204"/>
        <v>0</v>
      </c>
      <c r="U302" s="4">
        <f t="shared" si="205"/>
        <v>0</v>
      </c>
      <c r="V302" s="115">
        <f>+S302*$M$3/'COST DATA'!$D$26</f>
        <v>0</v>
      </c>
      <c r="W302" s="16">
        <f t="shared" si="206"/>
        <v>0</v>
      </c>
      <c r="X302" s="27">
        <f t="shared" si="207"/>
        <v>0</v>
      </c>
      <c r="Y302" s="27">
        <f t="shared" si="208"/>
        <v>0</v>
      </c>
      <c r="Z302" s="4">
        <f t="shared" si="209"/>
        <v>0</v>
      </c>
      <c r="AA302" s="82">
        <f>+'Finished goods'!$O$3*'PRIVATE CUSTOMER (BtoC)'!T302</f>
        <v>0</v>
      </c>
      <c r="AB302" s="82">
        <f>+'Finished goods'!$P$12*R302</f>
        <v>0</v>
      </c>
      <c r="AC302" s="83">
        <f t="shared" si="210"/>
        <v>0</v>
      </c>
      <c r="AD302" s="93" t="e">
        <f t="shared" si="211"/>
        <v>#DIV/0!</v>
      </c>
      <c r="AE302" s="93">
        <f>+'REVENUE DATA'!$D$12</f>
        <v>350</v>
      </c>
      <c r="AF302" s="90" t="e">
        <f t="shared" si="212"/>
        <v>#DIV/0!</v>
      </c>
      <c r="AG302" s="91" t="e">
        <f t="shared" si="213"/>
        <v>#DIV/0!</v>
      </c>
      <c r="AH302" s="92">
        <f t="shared" si="214"/>
        <v>0</v>
      </c>
    </row>
    <row r="303" spans="1:34" x14ac:dyDescent="0.3">
      <c r="A303" s="223"/>
      <c r="B303" s="4"/>
      <c r="C303" s="4" t="str">
        <f t="shared" si="203"/>
        <v>Copri candela</v>
      </c>
      <c r="D303" s="5">
        <f t="shared" si="203"/>
        <v>4</v>
      </c>
      <c r="E303" s="5">
        <f t="shared" si="203"/>
        <v>5</v>
      </c>
      <c r="F303" s="5">
        <f t="shared" si="203"/>
        <v>0.34</v>
      </c>
      <c r="G303" s="5">
        <f t="shared" si="203"/>
        <v>34</v>
      </c>
      <c r="H303" s="4">
        <f t="shared" si="203"/>
        <v>2.3780405299999999E-4</v>
      </c>
      <c r="I303" s="6">
        <f t="shared" si="203"/>
        <v>0.66056681388888883</v>
      </c>
      <c r="J303" s="6">
        <f t="shared" si="203"/>
        <v>0.59451013249999995</v>
      </c>
      <c r="R303" s="23">
        <v>0</v>
      </c>
      <c r="S303" s="6">
        <f t="shared" si="201"/>
        <v>0</v>
      </c>
      <c r="T303" s="6">
        <f t="shared" si="204"/>
        <v>0</v>
      </c>
      <c r="U303" s="4">
        <f t="shared" si="205"/>
        <v>0</v>
      </c>
      <c r="V303" s="115">
        <f>+S303*$M$3/'COST DATA'!$D$26</f>
        <v>0</v>
      </c>
      <c r="W303" s="16">
        <f t="shared" si="206"/>
        <v>0</v>
      </c>
      <c r="X303" s="27">
        <f t="shared" si="207"/>
        <v>0</v>
      </c>
      <c r="Y303" s="27">
        <f t="shared" si="208"/>
        <v>0</v>
      </c>
      <c r="Z303" s="4">
        <f t="shared" si="209"/>
        <v>0</v>
      </c>
      <c r="AA303" s="82">
        <f>+'Finished goods'!$O$3*'PRIVATE CUSTOMER (BtoC)'!T303</f>
        <v>0</v>
      </c>
      <c r="AB303" s="82">
        <f>+'Finished goods'!$P$13*R303</f>
        <v>0</v>
      </c>
      <c r="AC303" s="83">
        <f t="shared" si="210"/>
        <v>0</v>
      </c>
      <c r="AD303" s="93" t="e">
        <f t="shared" si="211"/>
        <v>#DIV/0!</v>
      </c>
      <c r="AE303" s="93">
        <f>+'REVENUE DATA'!$D$13</f>
        <v>75</v>
      </c>
      <c r="AF303" s="90" t="e">
        <f t="shared" si="212"/>
        <v>#DIV/0!</v>
      </c>
      <c r="AG303" s="91" t="e">
        <f t="shared" si="213"/>
        <v>#DIV/0!</v>
      </c>
      <c r="AH303" s="92">
        <f t="shared" si="214"/>
        <v>0</v>
      </c>
    </row>
    <row r="304" spans="1:34" x14ac:dyDescent="0.3">
      <c r="A304" s="223"/>
      <c r="B304" s="4"/>
      <c r="C304" s="4" t="str">
        <f t="shared" si="203"/>
        <v xml:space="preserve">Vaso Grosso </v>
      </c>
      <c r="D304" s="5">
        <f t="shared" si="203"/>
        <v>4</v>
      </c>
      <c r="E304" s="5">
        <f t="shared" si="203"/>
        <v>5</v>
      </c>
      <c r="F304" s="5">
        <f t="shared" si="203"/>
        <v>1.31</v>
      </c>
      <c r="G304" s="5">
        <f t="shared" si="203"/>
        <v>91</v>
      </c>
      <c r="H304" s="4">
        <f t="shared" si="203"/>
        <v>9.52764444E-4</v>
      </c>
      <c r="I304" s="6">
        <f t="shared" si="203"/>
        <v>2.6465679</v>
      </c>
      <c r="J304" s="6">
        <f t="shared" si="203"/>
        <v>2.3819111099999999</v>
      </c>
      <c r="R304" s="23">
        <v>0</v>
      </c>
      <c r="S304" s="6">
        <f t="shared" si="201"/>
        <v>0</v>
      </c>
      <c r="T304" s="6">
        <f t="shared" si="204"/>
        <v>0</v>
      </c>
      <c r="U304" s="4">
        <f t="shared" si="205"/>
        <v>0</v>
      </c>
      <c r="V304" s="115">
        <f>+S304*$M$3/'COST DATA'!$D$26</f>
        <v>0</v>
      </c>
      <c r="W304" s="16">
        <f t="shared" si="206"/>
        <v>0</v>
      </c>
      <c r="X304" s="27">
        <f t="shared" si="207"/>
        <v>0</v>
      </c>
      <c r="Y304" s="27">
        <f t="shared" si="208"/>
        <v>0</v>
      </c>
      <c r="Z304" s="4">
        <f t="shared" si="209"/>
        <v>0</v>
      </c>
      <c r="AA304" s="82">
        <f>+'Finished goods'!$O$3*'PRIVATE CUSTOMER (BtoC)'!T304</f>
        <v>0</v>
      </c>
      <c r="AB304" s="82">
        <f>+'Finished goods'!$P$14*R304</f>
        <v>0</v>
      </c>
      <c r="AC304" s="83">
        <f t="shared" si="210"/>
        <v>0</v>
      </c>
      <c r="AD304" s="93" t="e">
        <f t="shared" si="211"/>
        <v>#DIV/0!</v>
      </c>
      <c r="AE304" s="93">
        <f>+'REVENUE DATA'!$D$14</f>
        <v>250</v>
      </c>
      <c r="AF304" s="90" t="e">
        <f t="shared" si="212"/>
        <v>#DIV/0!</v>
      </c>
      <c r="AG304" s="91" t="e">
        <f t="shared" si="213"/>
        <v>#DIV/0!</v>
      </c>
      <c r="AH304" s="92">
        <f t="shared" si="214"/>
        <v>0</v>
      </c>
    </row>
    <row r="305" spans="1:34" x14ac:dyDescent="0.3">
      <c r="A305" s="223"/>
      <c r="B305" s="4"/>
      <c r="C305" s="4" t="str">
        <f t="shared" si="203"/>
        <v>Bicchiere curve dritto</v>
      </c>
      <c r="D305" s="5">
        <f t="shared" si="203"/>
        <v>2</v>
      </c>
      <c r="E305" s="5">
        <f t="shared" si="203"/>
        <v>2</v>
      </c>
      <c r="F305" s="5">
        <f t="shared" si="203"/>
        <v>0.26</v>
      </c>
      <c r="G305" s="5">
        <f t="shared" si="203"/>
        <v>26</v>
      </c>
      <c r="H305" s="4">
        <f t="shared" si="203"/>
        <v>1.6928511099999999E-4</v>
      </c>
      <c r="I305" s="6">
        <f t="shared" si="203"/>
        <v>0.47023641944444439</v>
      </c>
      <c r="J305" s="6">
        <f t="shared" si="203"/>
        <v>0.42321277749999997</v>
      </c>
      <c r="R305" s="23">
        <v>0</v>
      </c>
      <c r="S305" s="6">
        <f t="shared" si="201"/>
        <v>0</v>
      </c>
      <c r="T305" s="6">
        <f t="shared" si="204"/>
        <v>0</v>
      </c>
      <c r="U305" s="4">
        <f t="shared" si="205"/>
        <v>0</v>
      </c>
      <c r="V305" s="115">
        <f>+S305*$M$3/'COST DATA'!$D$26</f>
        <v>0</v>
      </c>
      <c r="W305" s="16">
        <f t="shared" si="206"/>
        <v>0</v>
      </c>
      <c r="X305" s="27">
        <f t="shared" si="207"/>
        <v>0</v>
      </c>
      <c r="Y305" s="27">
        <f t="shared" si="208"/>
        <v>0</v>
      </c>
      <c r="Z305" s="4">
        <f t="shared" si="209"/>
        <v>0</v>
      </c>
      <c r="AA305" s="82">
        <f>+'Finished goods'!$O$3*'PRIVATE CUSTOMER (BtoC)'!T305</f>
        <v>0</v>
      </c>
      <c r="AB305" s="82">
        <f>+'Finished goods'!$P$15*R305</f>
        <v>0</v>
      </c>
      <c r="AC305" s="83">
        <f t="shared" si="210"/>
        <v>0</v>
      </c>
      <c r="AD305" s="93" t="e">
        <f t="shared" si="211"/>
        <v>#DIV/0!</v>
      </c>
      <c r="AE305" s="93">
        <f>+'REVENUE DATA'!$D$15</f>
        <v>0</v>
      </c>
      <c r="AF305" s="90" t="e">
        <f t="shared" si="212"/>
        <v>#DIV/0!</v>
      </c>
      <c r="AG305" s="91" t="e">
        <f t="shared" si="213"/>
        <v>#DIV/0!</v>
      </c>
      <c r="AH305" s="92">
        <f t="shared" si="214"/>
        <v>0</v>
      </c>
    </row>
    <row r="306" spans="1:34" x14ac:dyDescent="0.3">
      <c r="A306" s="223"/>
      <c r="B306" s="4"/>
      <c r="C306" s="4" t="str">
        <f t="shared" si="203"/>
        <v>Bicchiere curve twist</v>
      </c>
      <c r="D306" s="5">
        <f t="shared" si="203"/>
        <v>2</v>
      </c>
      <c r="E306" s="5">
        <f t="shared" si="203"/>
        <v>2</v>
      </c>
      <c r="F306" s="5">
        <f t="shared" si="203"/>
        <v>0.25</v>
      </c>
      <c r="G306" s="5">
        <f t="shared" si="203"/>
        <v>25</v>
      </c>
      <c r="H306" s="4">
        <f t="shared" si="203"/>
        <v>1.69285896E-4</v>
      </c>
      <c r="I306" s="6">
        <f t="shared" si="203"/>
        <v>0.47023859999999995</v>
      </c>
      <c r="J306" s="6">
        <f t="shared" si="203"/>
        <v>0.42321473999999998</v>
      </c>
      <c r="R306" s="23">
        <v>0</v>
      </c>
      <c r="S306" s="6">
        <f t="shared" si="201"/>
        <v>0</v>
      </c>
      <c r="T306" s="6">
        <f t="shared" si="204"/>
        <v>0</v>
      </c>
      <c r="U306" s="4">
        <f t="shared" si="205"/>
        <v>0</v>
      </c>
      <c r="V306" s="115">
        <f>+S306*$M$3/'COST DATA'!$D$26</f>
        <v>0</v>
      </c>
      <c r="W306" s="16">
        <f t="shared" si="206"/>
        <v>0</v>
      </c>
      <c r="X306" s="27">
        <f t="shared" si="207"/>
        <v>0</v>
      </c>
      <c r="Y306" s="27">
        <f t="shared" si="208"/>
        <v>0</v>
      </c>
      <c r="Z306" s="4">
        <f t="shared" si="209"/>
        <v>0</v>
      </c>
      <c r="AA306" s="82">
        <f>+'Finished goods'!$O$3*'PRIVATE CUSTOMER (BtoC)'!T306</f>
        <v>0</v>
      </c>
      <c r="AB306" s="82">
        <f>+'Finished goods'!$P$16*R306</f>
        <v>0</v>
      </c>
      <c r="AC306" s="83">
        <f t="shared" si="210"/>
        <v>0</v>
      </c>
      <c r="AD306" s="93" t="e">
        <f t="shared" si="211"/>
        <v>#DIV/0!</v>
      </c>
      <c r="AE306" s="93">
        <f>+'REVENUE DATA'!$D$16</f>
        <v>0</v>
      </c>
      <c r="AF306" s="90" t="e">
        <f t="shared" si="212"/>
        <v>#DIV/0!</v>
      </c>
      <c r="AG306" s="91" t="e">
        <f t="shared" si="213"/>
        <v>#DIV/0!</v>
      </c>
      <c r="AH306" s="92">
        <f t="shared" si="214"/>
        <v>0</v>
      </c>
    </row>
    <row r="307" spans="1:34" x14ac:dyDescent="0.3">
      <c r="A307" s="223"/>
      <c r="B307" s="4"/>
      <c r="C307" s="4" t="str">
        <f t="shared" si="203"/>
        <v>Caraffa curva</v>
      </c>
      <c r="D307" s="5">
        <f t="shared" si="203"/>
        <v>2</v>
      </c>
      <c r="E307" s="5">
        <f t="shared" si="203"/>
        <v>2</v>
      </c>
      <c r="F307" s="5">
        <f t="shared" si="203"/>
        <v>0.56999999999999995</v>
      </c>
      <c r="G307" s="5">
        <f t="shared" si="203"/>
        <v>57</v>
      </c>
      <c r="H307" s="4">
        <f t="shared" si="203"/>
        <v>3.69342133E-4</v>
      </c>
      <c r="I307" s="6">
        <f t="shared" si="203"/>
        <v>1.0259503694444445</v>
      </c>
      <c r="J307" s="6">
        <f t="shared" si="203"/>
        <v>0.92335533250000001</v>
      </c>
      <c r="R307" s="23">
        <v>0</v>
      </c>
      <c r="S307" s="6">
        <f t="shared" si="201"/>
        <v>0</v>
      </c>
      <c r="T307" s="6">
        <f t="shared" si="204"/>
        <v>0</v>
      </c>
      <c r="U307" s="4">
        <f t="shared" si="205"/>
        <v>0</v>
      </c>
      <c r="V307" s="115">
        <f>+S307*$M$3/'COST DATA'!$D$26</f>
        <v>0</v>
      </c>
      <c r="W307" s="16">
        <f>+U307*$N$3</f>
        <v>0</v>
      </c>
      <c r="X307" s="27">
        <f t="shared" si="207"/>
        <v>0</v>
      </c>
      <c r="Y307" s="27">
        <f t="shared" si="208"/>
        <v>0</v>
      </c>
      <c r="Z307" s="4">
        <f t="shared" si="209"/>
        <v>0</v>
      </c>
      <c r="AA307" s="82">
        <f>+'Finished goods'!$O$3*'PRIVATE CUSTOMER (BtoC)'!T307</f>
        <v>0</v>
      </c>
      <c r="AB307" s="82">
        <f>+'Finished goods'!$P$17*R307</f>
        <v>0</v>
      </c>
      <c r="AC307" s="83">
        <f t="shared" si="210"/>
        <v>0</v>
      </c>
      <c r="AD307" s="93" t="e">
        <f t="shared" si="211"/>
        <v>#DIV/0!</v>
      </c>
      <c r="AE307" s="93">
        <f>+'REVENUE DATA'!$D$17</f>
        <v>30</v>
      </c>
      <c r="AF307" s="90" t="e">
        <f t="shared" si="212"/>
        <v>#DIV/0!</v>
      </c>
      <c r="AG307" s="91" t="e">
        <f t="shared" si="213"/>
        <v>#DIV/0!</v>
      </c>
      <c r="AH307" s="92">
        <f t="shared" si="214"/>
        <v>0</v>
      </c>
    </row>
    <row r="308" spans="1:34" x14ac:dyDescent="0.3">
      <c r="A308" s="223"/>
      <c r="B308" s="4"/>
      <c r="C308" s="4" t="str">
        <f t="shared" si="203"/>
        <v>Caraffa colonna dritta</v>
      </c>
      <c r="D308" s="5">
        <f t="shared" si="203"/>
        <v>2</v>
      </c>
      <c r="E308" s="5">
        <f t="shared" si="203"/>
        <v>1</v>
      </c>
      <c r="F308" s="5">
        <f t="shared" si="203"/>
        <v>1.4</v>
      </c>
      <c r="G308" s="5">
        <f t="shared" si="203"/>
        <v>100</v>
      </c>
      <c r="H308" s="4">
        <f t="shared" si="203"/>
        <v>3.2796365999999998E-4</v>
      </c>
      <c r="I308" s="6">
        <f t="shared" si="203"/>
        <v>0.91101016666666657</v>
      </c>
      <c r="J308" s="6">
        <f t="shared" si="203"/>
        <v>0.81990914999999998</v>
      </c>
      <c r="R308" s="23">
        <v>0</v>
      </c>
      <c r="S308" s="6">
        <f t="shared" si="201"/>
        <v>0</v>
      </c>
      <c r="T308" s="6">
        <f t="shared" si="204"/>
        <v>0</v>
      </c>
      <c r="U308" s="4">
        <f t="shared" si="205"/>
        <v>0</v>
      </c>
      <c r="V308" s="115">
        <f>+S308*$M$3/'COST DATA'!$D$26</f>
        <v>0</v>
      </c>
      <c r="W308" s="16">
        <f t="shared" ref="W308:W317" si="215">+U308*$N$3</f>
        <v>0</v>
      </c>
      <c r="X308" s="27">
        <f t="shared" si="207"/>
        <v>0</v>
      </c>
      <c r="Y308" s="27">
        <f t="shared" si="208"/>
        <v>0</v>
      </c>
      <c r="Z308" s="4">
        <f t="shared" si="209"/>
        <v>0</v>
      </c>
      <c r="AA308" s="82">
        <f>+'Finished goods'!$O$3*'PRIVATE CUSTOMER (BtoC)'!T308</f>
        <v>0</v>
      </c>
      <c r="AB308" s="82">
        <f>+'Finished goods'!$P$18*R308</f>
        <v>0</v>
      </c>
      <c r="AC308" s="83">
        <f t="shared" si="210"/>
        <v>0</v>
      </c>
      <c r="AD308" s="93" t="e">
        <f t="shared" si="211"/>
        <v>#DIV/0!</v>
      </c>
      <c r="AE308" s="93">
        <f>+'REVENUE DATA'!$D$18</f>
        <v>30</v>
      </c>
      <c r="AF308" s="90" t="e">
        <f t="shared" si="212"/>
        <v>#DIV/0!</v>
      </c>
      <c r="AG308" s="91" t="e">
        <f t="shared" si="213"/>
        <v>#DIV/0!</v>
      </c>
      <c r="AH308" s="92">
        <f t="shared" si="214"/>
        <v>0</v>
      </c>
    </row>
    <row r="309" spans="1:34" x14ac:dyDescent="0.3">
      <c r="A309" s="223"/>
      <c r="B309" s="4"/>
      <c r="C309" s="4" t="str">
        <f t="shared" si="203"/>
        <v>Caraffa colonna twist1</v>
      </c>
      <c r="D309" s="5">
        <f t="shared" si="203"/>
        <v>2</v>
      </c>
      <c r="E309" s="5">
        <f t="shared" si="203"/>
        <v>1</v>
      </c>
      <c r="F309" s="5">
        <f t="shared" si="203"/>
        <v>1.41</v>
      </c>
      <c r="G309" s="5">
        <f t="shared" si="203"/>
        <v>101</v>
      </c>
      <c r="H309" s="4">
        <f t="shared" si="203"/>
        <v>3.323221E-4</v>
      </c>
      <c r="I309" s="6">
        <f t="shared" si="203"/>
        <v>0.92311694444444448</v>
      </c>
      <c r="J309" s="6">
        <f t="shared" si="203"/>
        <v>0.83080525000000005</v>
      </c>
      <c r="R309" s="23">
        <v>0</v>
      </c>
      <c r="S309" s="6">
        <f t="shared" si="201"/>
        <v>0</v>
      </c>
      <c r="T309" s="6">
        <f t="shared" si="204"/>
        <v>0</v>
      </c>
      <c r="U309" s="4">
        <f t="shared" si="205"/>
        <v>0</v>
      </c>
      <c r="V309" s="115">
        <f>+S309*$M$3/'COST DATA'!$D$26</f>
        <v>0</v>
      </c>
      <c r="W309" s="16">
        <f t="shared" si="215"/>
        <v>0</v>
      </c>
      <c r="X309" s="27">
        <f t="shared" si="207"/>
        <v>0</v>
      </c>
      <c r="Y309" s="27">
        <f t="shared" si="208"/>
        <v>0</v>
      </c>
      <c r="Z309" s="4">
        <f t="shared" si="209"/>
        <v>0</v>
      </c>
      <c r="AA309" s="82">
        <f>+'Finished goods'!$O$3*'PRIVATE CUSTOMER (BtoC)'!T309</f>
        <v>0</v>
      </c>
      <c r="AB309" s="82">
        <f>+'Finished goods'!$P$19*R309</f>
        <v>0</v>
      </c>
      <c r="AC309" s="83">
        <f t="shared" si="210"/>
        <v>0</v>
      </c>
      <c r="AD309" s="93" t="e">
        <f t="shared" si="211"/>
        <v>#DIV/0!</v>
      </c>
      <c r="AE309" s="93">
        <f>+'REVENUE DATA'!$D$19</f>
        <v>30</v>
      </c>
      <c r="AF309" s="90" t="e">
        <f t="shared" si="212"/>
        <v>#DIV/0!</v>
      </c>
      <c r="AG309" s="91" t="e">
        <f t="shared" si="213"/>
        <v>#DIV/0!</v>
      </c>
      <c r="AH309" s="92">
        <f t="shared" si="214"/>
        <v>0</v>
      </c>
    </row>
    <row r="310" spans="1:34" x14ac:dyDescent="0.3">
      <c r="A310" s="223"/>
      <c r="B310" s="4"/>
      <c r="C310" s="4" t="str">
        <f t="shared" si="203"/>
        <v>Caraffa colonna twist2</v>
      </c>
      <c r="D310" s="5">
        <f t="shared" si="203"/>
        <v>2</v>
      </c>
      <c r="E310" s="5">
        <f t="shared" si="203"/>
        <v>1</v>
      </c>
      <c r="F310" s="5">
        <f t="shared" si="203"/>
        <v>1.45</v>
      </c>
      <c r="G310" s="5">
        <f t="shared" si="203"/>
        <v>105</v>
      </c>
      <c r="H310" s="4">
        <f t="shared" si="203"/>
        <v>3.4271101000000001E-4</v>
      </c>
      <c r="I310" s="6">
        <f t="shared" si="203"/>
        <v>0.95197502777777776</v>
      </c>
      <c r="J310" s="6">
        <f t="shared" si="203"/>
        <v>0.85677752500000004</v>
      </c>
      <c r="R310" s="23">
        <v>0</v>
      </c>
      <c r="S310" s="6">
        <f t="shared" si="201"/>
        <v>0</v>
      </c>
      <c r="T310" s="6">
        <f t="shared" si="204"/>
        <v>0</v>
      </c>
      <c r="U310" s="4">
        <f t="shared" si="205"/>
        <v>0</v>
      </c>
      <c r="V310" s="115">
        <f>+S310*$M$3/'COST DATA'!$D$26</f>
        <v>0</v>
      </c>
      <c r="W310" s="16">
        <f t="shared" si="215"/>
        <v>0</v>
      </c>
      <c r="X310" s="27">
        <f t="shared" si="207"/>
        <v>0</v>
      </c>
      <c r="Y310" s="27">
        <f t="shared" si="208"/>
        <v>0</v>
      </c>
      <c r="Z310" s="4">
        <f t="shared" si="209"/>
        <v>0</v>
      </c>
      <c r="AA310" s="82">
        <f>+'Finished goods'!$O$3*'PRIVATE CUSTOMER (BtoC)'!T310</f>
        <v>0</v>
      </c>
      <c r="AB310" s="82">
        <f>+'Finished goods'!$P$20*R310</f>
        <v>0</v>
      </c>
      <c r="AC310" s="83">
        <f t="shared" si="210"/>
        <v>0</v>
      </c>
      <c r="AD310" s="93" t="e">
        <f t="shared" si="211"/>
        <v>#DIV/0!</v>
      </c>
      <c r="AE310" s="93">
        <f>+'REVENUE DATA'!$D$20</f>
        <v>30</v>
      </c>
      <c r="AF310" s="90" t="e">
        <f t="shared" si="212"/>
        <v>#DIV/0!</v>
      </c>
      <c r="AG310" s="91" t="e">
        <f t="shared" si="213"/>
        <v>#DIV/0!</v>
      </c>
      <c r="AH310" s="92">
        <f t="shared" si="214"/>
        <v>0</v>
      </c>
    </row>
    <row r="311" spans="1:34" x14ac:dyDescent="0.3">
      <c r="A311" s="223"/>
      <c r="B311" s="4"/>
      <c r="C311" s="4" t="str">
        <f t="shared" si="203"/>
        <v>Caraffa colonna twist3</v>
      </c>
      <c r="D311" s="5">
        <f t="shared" si="203"/>
        <v>2</v>
      </c>
      <c r="E311" s="5">
        <f t="shared" si="203"/>
        <v>1</v>
      </c>
      <c r="F311" s="5">
        <f t="shared" si="203"/>
        <v>1.42</v>
      </c>
      <c r="G311" s="5">
        <f t="shared" si="203"/>
        <v>102</v>
      </c>
      <c r="H311" s="4">
        <f t="shared" si="203"/>
        <v>3.3727121999999998E-4</v>
      </c>
      <c r="I311" s="6">
        <f t="shared" si="203"/>
        <v>0.93686449999999988</v>
      </c>
      <c r="J311" s="6">
        <f t="shared" si="203"/>
        <v>0.8431780499999999</v>
      </c>
      <c r="R311" s="23">
        <v>0</v>
      </c>
      <c r="S311" s="6">
        <f t="shared" si="201"/>
        <v>0</v>
      </c>
      <c r="T311" s="6">
        <f t="shared" si="204"/>
        <v>0</v>
      </c>
      <c r="U311" s="4">
        <f t="shared" si="205"/>
        <v>0</v>
      </c>
      <c r="V311" s="115">
        <f>+S311*$M$3/'COST DATA'!$D$26</f>
        <v>0</v>
      </c>
      <c r="W311" s="16">
        <f t="shared" si="215"/>
        <v>0</v>
      </c>
      <c r="X311" s="27">
        <f t="shared" si="207"/>
        <v>0</v>
      </c>
      <c r="Y311" s="27">
        <f t="shared" si="208"/>
        <v>0</v>
      </c>
      <c r="Z311" s="4">
        <f t="shared" si="209"/>
        <v>0</v>
      </c>
      <c r="AA311" s="82">
        <f>+'Finished goods'!$O$3*'PRIVATE CUSTOMER (BtoC)'!T311</f>
        <v>0</v>
      </c>
      <c r="AB311" s="82">
        <f>+'Finished goods'!$P$21*R311</f>
        <v>0</v>
      </c>
      <c r="AC311" s="83">
        <f t="shared" si="210"/>
        <v>0</v>
      </c>
      <c r="AD311" s="93" t="e">
        <f t="shared" si="211"/>
        <v>#DIV/0!</v>
      </c>
      <c r="AE311" s="93">
        <f>+'REVENUE DATA'!$D$21</f>
        <v>30</v>
      </c>
      <c r="AF311" s="90" t="e">
        <f t="shared" si="212"/>
        <v>#DIV/0!</v>
      </c>
      <c r="AG311" s="91" t="e">
        <f t="shared" si="213"/>
        <v>#DIV/0!</v>
      </c>
      <c r="AH311" s="92">
        <f t="shared" si="214"/>
        <v>0</v>
      </c>
    </row>
    <row r="312" spans="1:34" x14ac:dyDescent="0.3">
      <c r="A312" s="223"/>
      <c r="B312" s="4"/>
      <c r="C312" s="4" t="str">
        <f t="shared" si="203"/>
        <v>Bicchiere colonna twist1</v>
      </c>
      <c r="D312" s="5">
        <f t="shared" si="203"/>
        <v>1</v>
      </c>
      <c r="E312" s="5">
        <f t="shared" si="203"/>
        <v>1</v>
      </c>
      <c r="F312" s="5">
        <f t="shared" si="203"/>
        <v>0.57999999999999996</v>
      </c>
      <c r="G312" s="5">
        <f t="shared" si="203"/>
        <v>58</v>
      </c>
      <c r="H312" s="4">
        <f t="shared" si="203"/>
        <v>9.7981700000000004E-5</v>
      </c>
      <c r="I312" s="6">
        <f t="shared" si="203"/>
        <v>0.27217138888888892</v>
      </c>
      <c r="J312" s="6">
        <f t="shared" si="203"/>
        <v>0.24495425000000001</v>
      </c>
      <c r="R312" s="23">
        <v>0</v>
      </c>
      <c r="S312" s="6">
        <f t="shared" si="201"/>
        <v>0</v>
      </c>
      <c r="T312" s="6">
        <f t="shared" si="204"/>
        <v>0</v>
      </c>
      <c r="U312" s="4">
        <f t="shared" si="205"/>
        <v>0</v>
      </c>
      <c r="V312" s="115">
        <f>+S312*$M$3/'COST DATA'!$D$26</f>
        <v>0</v>
      </c>
      <c r="W312" s="16">
        <f t="shared" si="215"/>
        <v>0</v>
      </c>
      <c r="X312" s="27">
        <f t="shared" si="207"/>
        <v>0</v>
      </c>
      <c r="Y312" s="27">
        <f t="shared" si="208"/>
        <v>0</v>
      </c>
      <c r="Z312" s="4">
        <f t="shared" si="209"/>
        <v>0</v>
      </c>
      <c r="AA312" s="82">
        <f>+'Finished goods'!$O$3*'PRIVATE CUSTOMER (BtoC)'!T312</f>
        <v>0</v>
      </c>
      <c r="AB312" s="82">
        <f>+'Finished goods'!$P$22*R312</f>
        <v>0</v>
      </c>
      <c r="AC312" s="83">
        <f t="shared" si="210"/>
        <v>0</v>
      </c>
      <c r="AD312" s="93" t="e">
        <f t="shared" si="211"/>
        <v>#DIV/0!</v>
      </c>
      <c r="AE312" s="93">
        <f>+'REVENUE DATA'!$D$22</f>
        <v>0</v>
      </c>
      <c r="AF312" s="90" t="e">
        <f t="shared" si="212"/>
        <v>#DIV/0!</v>
      </c>
      <c r="AG312" s="91" t="e">
        <f t="shared" si="213"/>
        <v>#DIV/0!</v>
      </c>
      <c r="AH312" s="92">
        <f t="shared" si="214"/>
        <v>0</v>
      </c>
    </row>
    <row r="313" spans="1:34" x14ac:dyDescent="0.3">
      <c r="A313" s="223"/>
      <c r="B313" s="4"/>
      <c r="C313" s="4" t="str">
        <f t="shared" si="203"/>
        <v>Bicchiere colonna twist2</v>
      </c>
      <c r="D313" s="5">
        <f t="shared" si="203"/>
        <v>1</v>
      </c>
      <c r="E313" s="5">
        <f t="shared" si="203"/>
        <v>1</v>
      </c>
      <c r="F313" s="5">
        <f t="shared" si="203"/>
        <v>0.59</v>
      </c>
      <c r="G313" s="5">
        <f t="shared" si="203"/>
        <v>59</v>
      </c>
      <c r="H313" s="4">
        <f t="shared" si="203"/>
        <v>9.7982366999999995E-5</v>
      </c>
      <c r="I313" s="6">
        <f t="shared" si="203"/>
        <v>0.27217324166666662</v>
      </c>
      <c r="J313" s="6">
        <f t="shared" si="203"/>
        <v>0.24495591749999998</v>
      </c>
      <c r="R313" s="23">
        <v>0</v>
      </c>
      <c r="S313" s="6">
        <f t="shared" si="201"/>
        <v>0</v>
      </c>
      <c r="T313" s="6">
        <f t="shared" si="204"/>
        <v>0</v>
      </c>
      <c r="U313" s="4">
        <f t="shared" si="205"/>
        <v>0</v>
      </c>
      <c r="V313" s="115">
        <f>+S313*$M$3/'COST DATA'!$D$26</f>
        <v>0</v>
      </c>
      <c r="W313" s="16">
        <f t="shared" si="215"/>
        <v>0</v>
      </c>
      <c r="X313" s="27">
        <f t="shared" si="207"/>
        <v>0</v>
      </c>
      <c r="Y313" s="27">
        <f t="shared" si="208"/>
        <v>0</v>
      </c>
      <c r="Z313" s="4">
        <f t="shared" si="209"/>
        <v>0</v>
      </c>
      <c r="AA313" s="82">
        <f>+'Finished goods'!$O$3*'PRIVATE CUSTOMER (BtoC)'!T313</f>
        <v>0</v>
      </c>
      <c r="AB313" s="82">
        <f>+'Finished goods'!$P$23*R313</f>
        <v>0</v>
      </c>
      <c r="AC313" s="83">
        <f t="shared" si="210"/>
        <v>0</v>
      </c>
      <c r="AD313" s="93" t="e">
        <f t="shared" si="211"/>
        <v>#DIV/0!</v>
      </c>
      <c r="AE313" s="93">
        <f>+'REVENUE DATA'!$D$23</f>
        <v>0</v>
      </c>
      <c r="AF313" s="90" t="e">
        <f t="shared" si="212"/>
        <v>#DIV/0!</v>
      </c>
      <c r="AG313" s="91" t="e">
        <f t="shared" si="213"/>
        <v>#DIV/0!</v>
      </c>
      <c r="AH313" s="92">
        <f t="shared" si="214"/>
        <v>0</v>
      </c>
    </row>
    <row r="314" spans="1:34" x14ac:dyDescent="0.3">
      <c r="A314" s="223"/>
      <c r="B314" s="4"/>
      <c r="C314" s="4" t="str">
        <f t="shared" si="203"/>
        <v>Bicchiere colonna twist3</v>
      </c>
      <c r="D314" s="5">
        <f t="shared" si="203"/>
        <v>1</v>
      </c>
      <c r="E314" s="5">
        <f t="shared" si="203"/>
        <v>1</v>
      </c>
      <c r="F314" s="5">
        <f t="shared" si="203"/>
        <v>0.59</v>
      </c>
      <c r="G314" s="5">
        <f t="shared" si="203"/>
        <v>59</v>
      </c>
      <c r="H314" s="4">
        <f t="shared" si="203"/>
        <v>9.7984652999999995E-5</v>
      </c>
      <c r="I314" s="6">
        <f t="shared" si="203"/>
        <v>0.27217959166666666</v>
      </c>
      <c r="J314" s="6">
        <f t="shared" si="203"/>
        <v>0.2449616325</v>
      </c>
      <c r="R314" s="23">
        <v>0</v>
      </c>
      <c r="S314" s="6">
        <f t="shared" si="201"/>
        <v>0</v>
      </c>
      <c r="T314" s="6">
        <f t="shared" si="204"/>
        <v>0</v>
      </c>
      <c r="U314" s="4">
        <f t="shared" si="205"/>
        <v>0</v>
      </c>
      <c r="V314" s="115">
        <f>+S314*$M$3/'COST DATA'!$D$26</f>
        <v>0</v>
      </c>
      <c r="W314" s="16">
        <f t="shared" si="215"/>
        <v>0</v>
      </c>
      <c r="X314" s="27">
        <f t="shared" si="207"/>
        <v>0</v>
      </c>
      <c r="Y314" s="27">
        <f t="shared" si="208"/>
        <v>0</v>
      </c>
      <c r="Z314" s="4">
        <f t="shared" si="209"/>
        <v>0</v>
      </c>
      <c r="AA314" s="82">
        <f>+'Finished goods'!$O$3*'PRIVATE CUSTOMER (BtoC)'!T314</f>
        <v>0</v>
      </c>
      <c r="AB314" s="82">
        <f>+'Finished goods'!$P$24*R314</f>
        <v>0</v>
      </c>
      <c r="AC314" s="83">
        <f t="shared" si="210"/>
        <v>0</v>
      </c>
      <c r="AD314" s="93" t="e">
        <f t="shared" si="211"/>
        <v>#DIV/0!</v>
      </c>
      <c r="AE314" s="93">
        <f>+'REVENUE DATA'!$D$24</f>
        <v>0</v>
      </c>
      <c r="AF314" s="90" t="e">
        <f t="shared" si="212"/>
        <v>#DIV/0!</v>
      </c>
      <c r="AG314" s="91" t="e">
        <f t="shared" si="213"/>
        <v>#DIV/0!</v>
      </c>
      <c r="AH314" s="92">
        <f t="shared" si="214"/>
        <v>0</v>
      </c>
    </row>
    <row r="315" spans="1:34" x14ac:dyDescent="0.3">
      <c r="A315" s="223"/>
      <c r="B315" s="4"/>
      <c r="C315" s="4" t="str">
        <f t="shared" si="203"/>
        <v>Bicchiere colonna twist alto</v>
      </c>
      <c r="D315" s="5">
        <f t="shared" si="203"/>
        <v>1</v>
      </c>
      <c r="E315" s="5">
        <f t="shared" si="203"/>
        <v>1</v>
      </c>
      <c r="F315" s="5">
        <f t="shared" si="203"/>
        <v>0.57999999999999996</v>
      </c>
      <c r="G315" s="5">
        <f t="shared" si="203"/>
        <v>58</v>
      </c>
      <c r="H315" s="4">
        <f t="shared" si="203"/>
        <v>9.4065272999999995E-5</v>
      </c>
      <c r="I315" s="6">
        <f t="shared" si="203"/>
        <v>0.26129242499999999</v>
      </c>
      <c r="J315" s="6">
        <f t="shared" si="203"/>
        <v>0.23516318249999998</v>
      </c>
      <c r="R315" s="23">
        <v>0</v>
      </c>
      <c r="S315" s="6">
        <f t="shared" si="201"/>
        <v>0</v>
      </c>
      <c r="T315" s="6">
        <f t="shared" si="204"/>
        <v>0</v>
      </c>
      <c r="U315" s="4">
        <f t="shared" si="205"/>
        <v>0</v>
      </c>
      <c r="V315" s="115">
        <f>+S315*$M$3/'COST DATA'!$D$26</f>
        <v>0</v>
      </c>
      <c r="W315" s="16">
        <f t="shared" si="215"/>
        <v>0</v>
      </c>
      <c r="X315" s="27">
        <f t="shared" si="207"/>
        <v>0</v>
      </c>
      <c r="Y315" s="27">
        <f t="shared" si="208"/>
        <v>0</v>
      </c>
      <c r="Z315" s="4">
        <f t="shared" si="209"/>
        <v>0</v>
      </c>
      <c r="AA315" s="82">
        <f>+'Finished goods'!$O$3*'PRIVATE CUSTOMER (BtoC)'!T315</f>
        <v>0</v>
      </c>
      <c r="AB315" s="82">
        <f>+'Finished goods'!$P$25*R315</f>
        <v>0</v>
      </c>
      <c r="AC315" s="83">
        <f t="shared" si="210"/>
        <v>0</v>
      </c>
      <c r="AD315" s="93" t="e">
        <f t="shared" si="211"/>
        <v>#DIV/0!</v>
      </c>
      <c r="AE315" s="93">
        <f>+'REVENUE DATA'!$D$25</f>
        <v>0</v>
      </c>
      <c r="AF315" s="90" t="e">
        <f t="shared" si="212"/>
        <v>#DIV/0!</v>
      </c>
      <c r="AG315" s="91" t="e">
        <f t="shared" si="213"/>
        <v>#DIV/0!</v>
      </c>
      <c r="AH315" s="92">
        <f t="shared" si="214"/>
        <v>0</v>
      </c>
    </row>
    <row r="316" spans="1:34" x14ac:dyDescent="0.3">
      <c r="A316" s="223"/>
      <c r="B316" s="4"/>
      <c r="C316" s="4" t="str">
        <f t="shared" si="203"/>
        <v>Oliera1</v>
      </c>
      <c r="D316" s="5">
        <f t="shared" si="203"/>
        <v>2</v>
      </c>
      <c r="E316" s="5">
        <f t="shared" si="203"/>
        <v>1</v>
      </c>
      <c r="F316" s="5">
        <f t="shared" si="203"/>
        <v>0.54</v>
      </c>
      <c r="G316" s="5">
        <f t="shared" si="203"/>
        <v>54</v>
      </c>
      <c r="H316" s="4">
        <f t="shared" si="203"/>
        <v>1.830542E-4</v>
      </c>
      <c r="I316" s="6">
        <f t="shared" si="203"/>
        <v>0.50848388888888885</v>
      </c>
      <c r="J316" s="6">
        <f t="shared" si="203"/>
        <v>0.45763549999999997</v>
      </c>
      <c r="R316" s="23">
        <v>0</v>
      </c>
      <c r="S316" s="6">
        <f t="shared" si="201"/>
        <v>0</v>
      </c>
      <c r="T316" s="6">
        <f t="shared" si="204"/>
        <v>0</v>
      </c>
      <c r="U316" s="4">
        <f t="shared" si="205"/>
        <v>0</v>
      </c>
      <c r="V316" s="115">
        <f>+S316*$M$3/'COST DATA'!$D$26</f>
        <v>0</v>
      </c>
      <c r="W316" s="16">
        <f t="shared" si="215"/>
        <v>0</v>
      </c>
      <c r="X316" s="27">
        <f t="shared" si="207"/>
        <v>0</v>
      </c>
      <c r="Y316" s="27">
        <f t="shared" si="208"/>
        <v>0</v>
      </c>
      <c r="Z316" s="4">
        <f t="shared" si="209"/>
        <v>0</v>
      </c>
      <c r="AA316" s="82">
        <f>+'Finished goods'!$O$3*'PRIVATE CUSTOMER (BtoC)'!T316</f>
        <v>0</v>
      </c>
      <c r="AB316" s="82">
        <f>+'Finished goods'!$P$26*R316</f>
        <v>0</v>
      </c>
      <c r="AC316" s="83">
        <f t="shared" si="210"/>
        <v>0</v>
      </c>
      <c r="AD316" s="93" t="e">
        <f t="shared" si="211"/>
        <v>#DIV/0!</v>
      </c>
      <c r="AE316" s="93">
        <f>+'REVENUE DATA'!$D$26</f>
        <v>0</v>
      </c>
      <c r="AF316" s="90" t="e">
        <f t="shared" si="212"/>
        <v>#DIV/0!</v>
      </c>
      <c r="AG316" s="91" t="e">
        <f t="shared" si="213"/>
        <v>#DIV/0!</v>
      </c>
      <c r="AH316" s="92">
        <f t="shared" si="214"/>
        <v>0</v>
      </c>
    </row>
    <row r="317" spans="1:34" ht="15" thickBot="1" x14ac:dyDescent="0.35">
      <c r="A317" s="224"/>
      <c r="B317" s="4"/>
      <c r="C317" s="4" t="str">
        <f t="shared" si="203"/>
        <v>Piatto spirale</v>
      </c>
      <c r="D317" s="5">
        <f t="shared" si="203"/>
        <v>4</v>
      </c>
      <c r="E317" s="5">
        <f t="shared" si="203"/>
        <v>5</v>
      </c>
      <c r="F317" s="5">
        <f t="shared" si="203"/>
        <v>0.25</v>
      </c>
      <c r="G317" s="5">
        <f t="shared" si="203"/>
        <v>25</v>
      </c>
      <c r="H317" s="4">
        <f t="shared" si="203"/>
        <v>1.575448E-4</v>
      </c>
      <c r="I317" s="6">
        <f t="shared" si="203"/>
        <v>0.43762444444444443</v>
      </c>
      <c r="J317" s="6">
        <f t="shared" si="203"/>
        <v>0.39386199999999999</v>
      </c>
      <c r="R317" s="23">
        <v>0</v>
      </c>
      <c r="S317" s="6">
        <f t="shared" si="201"/>
        <v>0</v>
      </c>
      <c r="T317" s="6">
        <f t="shared" si="204"/>
        <v>0</v>
      </c>
      <c r="U317" s="4">
        <f t="shared" si="205"/>
        <v>0</v>
      </c>
      <c r="V317" s="116">
        <f>+S317*$M$3/'COST DATA'!$D$26</f>
        <v>0</v>
      </c>
      <c r="W317" s="117">
        <f t="shared" si="215"/>
        <v>0</v>
      </c>
      <c r="X317" s="118">
        <f t="shared" si="207"/>
        <v>0</v>
      </c>
      <c r="Y317" s="118">
        <f t="shared" si="208"/>
        <v>0</v>
      </c>
      <c r="Z317" s="119">
        <f t="shared" si="209"/>
        <v>0</v>
      </c>
      <c r="AA317" s="85">
        <f>+'Finished goods'!$O$3*'PRIVATE CUSTOMER (BtoC)'!T317</f>
        <v>0</v>
      </c>
      <c r="AB317" s="85">
        <f>+'Finished goods'!$P$27*R317</f>
        <v>0</v>
      </c>
      <c r="AC317" s="86">
        <f t="shared" si="210"/>
        <v>0</v>
      </c>
      <c r="AD317" s="93" t="e">
        <f t="shared" si="211"/>
        <v>#DIV/0!</v>
      </c>
      <c r="AE317" s="93">
        <f>+'REVENUE DATA'!$D$27</f>
        <v>0</v>
      </c>
      <c r="AF317" s="90" t="e">
        <f t="shared" si="212"/>
        <v>#DIV/0!</v>
      </c>
      <c r="AG317" s="91" t="e">
        <f t="shared" si="213"/>
        <v>#DIV/0!</v>
      </c>
      <c r="AH317" s="92">
        <f t="shared" si="214"/>
        <v>0</v>
      </c>
    </row>
    <row r="320" spans="1:34" ht="18.600000000000001" thickBot="1" x14ac:dyDescent="0.4">
      <c r="D320" s="237" t="s">
        <v>40</v>
      </c>
      <c r="E320" s="237"/>
      <c r="F320" s="237"/>
      <c r="G320" s="237"/>
      <c r="H320" s="237"/>
      <c r="I320" s="237"/>
      <c r="J320" s="237"/>
      <c r="K320" s="237"/>
      <c r="L320" s="237"/>
      <c r="M320" s="237"/>
      <c r="N320" s="237"/>
      <c r="O320" s="237"/>
      <c r="P320" s="237"/>
      <c r="Q320" s="237"/>
      <c r="R320" s="10" t="s">
        <v>32</v>
      </c>
      <c r="S320" s="87">
        <f>+S322/60/7</f>
        <v>0</v>
      </c>
      <c r="T320" s="88" t="s">
        <v>83</v>
      </c>
    </row>
    <row r="321" spans="1:34" x14ac:dyDescent="0.3">
      <c r="D321" s="236" t="s">
        <v>33</v>
      </c>
      <c r="E321" s="236"/>
      <c r="F321" s="236"/>
      <c r="G321" s="236"/>
      <c r="H321" s="236"/>
      <c r="I321" s="236"/>
      <c r="J321" s="236"/>
      <c r="M321" s="236" t="s">
        <v>36</v>
      </c>
      <c r="N321" s="236"/>
      <c r="O321" s="236"/>
      <c r="P321" s="236"/>
      <c r="Q321" s="236"/>
      <c r="V321" s="238" t="s">
        <v>135</v>
      </c>
      <c r="W321" s="239"/>
      <c r="X321" s="239"/>
      <c r="Y321" s="239"/>
      <c r="Z321" s="239"/>
      <c r="AA321" s="239"/>
      <c r="AB321" s="239"/>
      <c r="AC321" s="240"/>
    </row>
    <row r="322" spans="1:34" ht="18" x14ac:dyDescent="0.35">
      <c r="F322" s="225" t="s">
        <v>44</v>
      </c>
      <c r="G322" s="225"/>
      <c r="I322" s="20">
        <f>SUBTOTAL(9,I324:I346)</f>
        <v>59.570075669444442</v>
      </c>
      <c r="J322" s="20">
        <f>SUBTOTAL(9,J324:J346)</f>
        <v>53.613068102499987</v>
      </c>
      <c r="K322" s="1">
        <f>+'Finished goods'!$I$3</f>
        <v>2500</v>
      </c>
      <c r="L322" s="1">
        <f>+'Finished goods'!$J$3</f>
        <v>0.9</v>
      </c>
      <c r="M322" s="15">
        <f>+'Finished goods'!$K$3</f>
        <v>0.50772709939119998</v>
      </c>
      <c r="N322" s="15">
        <f>+'Finished goods'!$L$3</f>
        <v>6.7889999999999999E-3</v>
      </c>
      <c r="O322" s="13">
        <f>+'Finished goods'!$M$3</f>
        <v>0.15750000000000003</v>
      </c>
      <c r="P322" s="46">
        <f>+'Finished goods'!$N$3</f>
        <v>5.8880308880308881E-2</v>
      </c>
      <c r="Q322" s="1"/>
      <c r="S322" s="17">
        <f>SUBTOTAL(9,S324:S346)</f>
        <v>0</v>
      </c>
      <c r="T322" s="17">
        <f>SUBTOTAL(9,T324:T346)</f>
        <v>0</v>
      </c>
      <c r="U322" s="75">
        <f>SUBTOTAL(9,U324:U346)</f>
        <v>0</v>
      </c>
      <c r="V322" s="77">
        <f t="shared" ref="V322:AC322" si="216">SUBTOTAL(9,V324:V346)</f>
        <v>0</v>
      </c>
      <c r="W322" s="17">
        <f t="shared" si="216"/>
        <v>0</v>
      </c>
      <c r="X322" s="17">
        <f t="shared" si="216"/>
        <v>0</v>
      </c>
      <c r="Y322" s="17">
        <f t="shared" si="216"/>
        <v>0</v>
      </c>
      <c r="Z322" s="17">
        <f t="shared" si="216"/>
        <v>0</v>
      </c>
      <c r="AA322" s="17">
        <f t="shared" si="216"/>
        <v>0</v>
      </c>
      <c r="AB322" s="17">
        <f t="shared" si="216"/>
        <v>0</v>
      </c>
      <c r="AC322" s="78">
        <f t="shared" si="216"/>
        <v>0</v>
      </c>
      <c r="AF322" s="225" t="s">
        <v>118</v>
      </c>
      <c r="AG322" s="225"/>
      <c r="AH322" s="108">
        <f t="shared" ref="AH322" si="217">SUBTOTAL(9,AH324:AH346)</f>
        <v>0</v>
      </c>
    </row>
    <row r="323" spans="1:34" x14ac:dyDescent="0.3">
      <c r="A323" s="1" t="s">
        <v>145</v>
      </c>
      <c r="B323" s="1" t="s">
        <v>30</v>
      </c>
      <c r="C323" s="1" t="s">
        <v>0</v>
      </c>
      <c r="D323" s="1" t="s">
        <v>4</v>
      </c>
      <c r="E323" s="1" t="s">
        <v>5</v>
      </c>
      <c r="F323" s="1" t="s">
        <v>45</v>
      </c>
      <c r="G323" s="1" t="s">
        <v>57</v>
      </c>
      <c r="H323" s="1" t="s">
        <v>6</v>
      </c>
      <c r="I323" s="1" t="s">
        <v>2</v>
      </c>
      <c r="J323" s="1" t="s">
        <v>7</v>
      </c>
      <c r="K323" s="1" t="s">
        <v>31</v>
      </c>
      <c r="L323" s="1" t="s">
        <v>8</v>
      </c>
      <c r="M323" s="1" t="s">
        <v>34</v>
      </c>
      <c r="N323" s="1" t="s">
        <v>35</v>
      </c>
      <c r="O323" s="1" t="s">
        <v>37</v>
      </c>
      <c r="P323" s="1" t="s">
        <v>93</v>
      </c>
      <c r="Q323" s="1" t="s">
        <v>94</v>
      </c>
      <c r="R323" s="11" t="s">
        <v>39</v>
      </c>
      <c r="S323" s="2" t="s">
        <v>43</v>
      </c>
      <c r="T323" s="2" t="s">
        <v>2</v>
      </c>
      <c r="U323" s="76" t="s">
        <v>7</v>
      </c>
      <c r="V323" s="79" t="str">
        <f>+V4</f>
        <v>energia €/h</v>
      </c>
      <c r="W323" s="79" t="str">
        <f t="shared" ref="W323:AB323" si="218">+W4</f>
        <v>materiale €/Kg</v>
      </c>
      <c r="X323" s="79" t="str">
        <f t="shared" si="218"/>
        <v>mod</v>
      </c>
      <c r="Y323" s="79" t="str">
        <f t="shared" si="218"/>
        <v>ammort</v>
      </c>
      <c r="Z323" s="79" t="str">
        <f t="shared" si="218"/>
        <v>Accensione</v>
      </c>
      <c r="AA323" s="79" t="str">
        <f t="shared" si="218"/>
        <v>trasporto</v>
      </c>
      <c r="AB323" s="79" t="str">
        <f t="shared" si="218"/>
        <v>forniture</v>
      </c>
      <c r="AC323" s="80" t="s">
        <v>42</v>
      </c>
      <c r="AD323" s="53" t="s">
        <v>116</v>
      </c>
      <c r="AE323" s="1" t="s">
        <v>117</v>
      </c>
      <c r="AF323" s="1" t="s">
        <v>119</v>
      </c>
      <c r="AG323" s="1" t="s">
        <v>120</v>
      </c>
      <c r="AH323" s="1" t="s">
        <v>121</v>
      </c>
    </row>
    <row r="324" spans="1:34" x14ac:dyDescent="0.3">
      <c r="A324" s="222" t="s">
        <v>422</v>
      </c>
      <c r="B324" s="4"/>
      <c r="C324" s="4" t="str">
        <f>+C295</f>
        <v>Tavolo twist Logo</v>
      </c>
      <c r="D324" s="5">
        <f>+D295</f>
        <v>8</v>
      </c>
      <c r="E324" s="5">
        <f t="shared" ref="E324:J324" si="219">+E295</f>
        <v>10</v>
      </c>
      <c r="F324" s="5">
        <f t="shared" si="219"/>
        <v>1.22</v>
      </c>
      <c r="G324" s="5">
        <f t="shared" si="219"/>
        <v>82</v>
      </c>
      <c r="H324" s="4">
        <f t="shared" si="219"/>
        <v>7.9769999999999997E-3</v>
      </c>
      <c r="I324" s="6">
        <f t="shared" si="219"/>
        <v>22.158333333333331</v>
      </c>
      <c r="J324" s="6">
        <f t="shared" si="219"/>
        <v>19.942499999999999</v>
      </c>
      <c r="R324" s="23">
        <v>0</v>
      </c>
      <c r="S324" s="6">
        <f t="shared" ref="S324:S346" si="220">+G324*$R324</f>
        <v>0</v>
      </c>
      <c r="T324" s="6">
        <f t="shared" ref="T324" si="221">+I324*$R324</f>
        <v>0</v>
      </c>
      <c r="U324" s="4">
        <f>+J324*$R324</f>
        <v>0</v>
      </c>
      <c r="V324" s="115">
        <f>+S324*$M$3/'COST DATA'!$D$26</f>
        <v>0</v>
      </c>
      <c r="W324" s="16">
        <f>+U324*$N$3</f>
        <v>0</v>
      </c>
      <c r="X324" s="27">
        <f>+S324*$O$3</f>
        <v>0</v>
      </c>
      <c r="Y324" s="27">
        <f>+S324*$P$3</f>
        <v>0</v>
      </c>
      <c r="Z324" s="4">
        <f>+(S324/$S$3)*($S$1)</f>
        <v>0</v>
      </c>
      <c r="AA324" s="82">
        <f>+'Finished goods'!$O$3*'PRIVATE CUSTOMER (BtoC)'!T324</f>
        <v>0</v>
      </c>
      <c r="AB324" s="82">
        <f>+'Finished goods'!$P$5*R324</f>
        <v>0</v>
      </c>
      <c r="AC324" s="83">
        <f>SUM(V324:AB324)</f>
        <v>0</v>
      </c>
      <c r="AD324" s="93" t="e">
        <f>+AC324/R324</f>
        <v>#DIV/0!</v>
      </c>
      <c r="AE324" s="93">
        <f>+'REVENUE DATA'!$D$5</f>
        <v>1200</v>
      </c>
      <c r="AF324" s="90" t="e">
        <f>+AE324-AD324</f>
        <v>#DIV/0!</v>
      </c>
      <c r="AG324" s="91" t="e">
        <f>+AF324/AD324</f>
        <v>#DIV/0!</v>
      </c>
      <c r="AH324" s="92">
        <f>+AE324*R324</f>
        <v>0</v>
      </c>
    </row>
    <row r="325" spans="1:34" x14ac:dyDescent="0.3">
      <c r="A325" s="223"/>
      <c r="B325" s="4"/>
      <c r="C325" s="4" t="str">
        <f t="shared" ref="C325:J346" si="222">+C296</f>
        <v xml:space="preserve">Vaso bitorzolo curvo </v>
      </c>
      <c r="D325" s="5">
        <f t="shared" si="222"/>
        <v>4</v>
      </c>
      <c r="E325" s="5">
        <f t="shared" si="222"/>
        <v>2</v>
      </c>
      <c r="F325" s="5">
        <f t="shared" si="222"/>
        <v>5.21</v>
      </c>
      <c r="G325" s="5">
        <f t="shared" si="222"/>
        <v>321</v>
      </c>
      <c r="H325" s="4">
        <f t="shared" si="222"/>
        <v>6.0029599999999995E-4</v>
      </c>
      <c r="I325" s="6">
        <f t="shared" si="222"/>
        <v>1.6674888888888888</v>
      </c>
      <c r="J325" s="6">
        <f t="shared" si="222"/>
        <v>1.50074</v>
      </c>
      <c r="R325" s="23">
        <v>0</v>
      </c>
      <c r="S325" s="6">
        <f t="shared" si="220"/>
        <v>0</v>
      </c>
      <c r="T325" s="6">
        <f t="shared" ref="T325:T346" si="223">+H325*$R325</f>
        <v>0</v>
      </c>
      <c r="U325" s="4">
        <f t="shared" ref="U325:U346" si="224">+J325*$R325</f>
        <v>0</v>
      </c>
      <c r="V325" s="115">
        <f>+S325*$M$3/'COST DATA'!$D$26</f>
        <v>0</v>
      </c>
      <c r="W325" s="16">
        <f t="shared" ref="W325:W335" si="225">+U325*$N$3</f>
        <v>0</v>
      </c>
      <c r="X325" s="27">
        <f t="shared" ref="X325:X346" si="226">+S325*$O$3</f>
        <v>0</v>
      </c>
      <c r="Y325" s="27">
        <f t="shared" ref="Y325:Y346" si="227">+S325*$P$3</f>
        <v>0</v>
      </c>
      <c r="Z325" s="4">
        <f t="shared" ref="Z325:Z346" si="228">+(S325/$S$3)*($S$1)</f>
        <v>0</v>
      </c>
      <c r="AA325" s="82">
        <f>+'Finished goods'!$O$3*'PRIVATE CUSTOMER (BtoC)'!T325</f>
        <v>0</v>
      </c>
      <c r="AB325" s="82">
        <f>+'Finished goods'!$P$6*R325</f>
        <v>0</v>
      </c>
      <c r="AC325" s="83">
        <f t="shared" ref="AC325:AC346" si="229">SUM(V325:AB325)</f>
        <v>0</v>
      </c>
      <c r="AD325" s="93" t="e">
        <f t="shared" ref="AD325:AD346" si="230">+AC325/R325</f>
        <v>#DIV/0!</v>
      </c>
      <c r="AE325" s="93">
        <f>+'REVENUE DATA'!$D$6</f>
        <v>350</v>
      </c>
      <c r="AF325" s="90" t="e">
        <f t="shared" ref="AF325:AF346" si="231">+AE325-AD325</f>
        <v>#DIV/0!</v>
      </c>
      <c r="AG325" s="91" t="e">
        <f t="shared" ref="AG325:AG346" si="232">+AF325/AD325</f>
        <v>#DIV/0!</v>
      </c>
      <c r="AH325" s="92">
        <f t="shared" ref="AH325:AH346" si="233">+AE325*R325</f>
        <v>0</v>
      </c>
    </row>
    <row r="326" spans="1:34" x14ac:dyDescent="0.3">
      <c r="A326" s="223"/>
      <c r="B326" s="4"/>
      <c r="C326" s="4" t="str">
        <f t="shared" si="222"/>
        <v>Vaso bitorzolo twist</v>
      </c>
      <c r="D326" s="5">
        <f t="shared" si="222"/>
        <v>4</v>
      </c>
      <c r="E326" s="5">
        <f t="shared" si="222"/>
        <v>2</v>
      </c>
      <c r="F326" s="5">
        <f t="shared" si="222"/>
        <v>5.15</v>
      </c>
      <c r="G326" s="5">
        <f t="shared" si="222"/>
        <v>315</v>
      </c>
      <c r="H326" s="4">
        <f t="shared" si="222"/>
        <v>8.005105E-4</v>
      </c>
      <c r="I326" s="6">
        <f t="shared" si="222"/>
        <v>2.2236402777777777</v>
      </c>
      <c r="J326" s="6">
        <f t="shared" si="222"/>
        <v>2.0012762500000001</v>
      </c>
      <c r="R326" s="23">
        <v>0</v>
      </c>
      <c r="S326" s="6">
        <f t="shared" si="220"/>
        <v>0</v>
      </c>
      <c r="T326" s="6">
        <f t="shared" si="223"/>
        <v>0</v>
      </c>
      <c r="U326" s="4">
        <f t="shared" si="224"/>
        <v>0</v>
      </c>
      <c r="V326" s="115">
        <f>+S326*$M$3/'COST DATA'!$D$26</f>
        <v>0</v>
      </c>
      <c r="W326" s="16">
        <f t="shared" si="225"/>
        <v>0</v>
      </c>
      <c r="X326" s="27">
        <f t="shared" si="226"/>
        <v>0</v>
      </c>
      <c r="Y326" s="27">
        <f t="shared" si="227"/>
        <v>0</v>
      </c>
      <c r="Z326" s="4">
        <f t="shared" si="228"/>
        <v>0</v>
      </c>
      <c r="AA326" s="82">
        <f>+'Finished goods'!$O$3*'PRIVATE CUSTOMER (BtoC)'!T326</f>
        <v>0</v>
      </c>
      <c r="AB326" s="82">
        <f>+'Finished goods'!$P$7*R326</f>
        <v>0</v>
      </c>
      <c r="AC326" s="83">
        <f t="shared" si="229"/>
        <v>0</v>
      </c>
      <c r="AD326" s="93" t="e">
        <f t="shared" si="230"/>
        <v>#DIV/0!</v>
      </c>
      <c r="AE326" s="93">
        <f>+'REVENUE DATA'!$D$7</f>
        <v>350</v>
      </c>
      <c r="AF326" s="90" t="e">
        <f t="shared" si="231"/>
        <v>#DIV/0!</v>
      </c>
      <c r="AG326" s="91" t="e">
        <f t="shared" si="232"/>
        <v>#DIV/0!</v>
      </c>
      <c r="AH326" s="92">
        <f t="shared" si="233"/>
        <v>0</v>
      </c>
    </row>
    <row r="327" spans="1:34" x14ac:dyDescent="0.3">
      <c r="A327" s="223"/>
      <c r="B327" s="4"/>
      <c r="C327" s="4" t="str">
        <f t="shared" si="222"/>
        <v>Vaso bitorzolo dritto</v>
      </c>
      <c r="D327" s="5">
        <f t="shared" si="222"/>
        <v>4</v>
      </c>
      <c r="E327" s="5">
        <f t="shared" si="222"/>
        <v>2</v>
      </c>
      <c r="F327" s="5">
        <f t="shared" si="222"/>
        <v>4.4800000000000004</v>
      </c>
      <c r="G327" s="5">
        <f t="shared" si="222"/>
        <v>288</v>
      </c>
      <c r="H327" s="4">
        <f t="shared" si="222"/>
        <v>8.2321687099999998E-4</v>
      </c>
      <c r="I327" s="6">
        <f t="shared" si="222"/>
        <v>2.2867135305555553</v>
      </c>
      <c r="J327" s="6">
        <f t="shared" si="222"/>
        <v>2.0580421775</v>
      </c>
      <c r="R327" s="23">
        <v>0</v>
      </c>
      <c r="S327" s="6">
        <f t="shared" si="220"/>
        <v>0</v>
      </c>
      <c r="T327" s="6">
        <f t="shared" si="223"/>
        <v>0</v>
      </c>
      <c r="U327" s="4">
        <f t="shared" si="224"/>
        <v>0</v>
      </c>
      <c r="V327" s="115">
        <f>+S327*$M$3/'COST DATA'!$D$26</f>
        <v>0</v>
      </c>
      <c r="W327" s="16">
        <f t="shared" si="225"/>
        <v>0</v>
      </c>
      <c r="X327" s="27">
        <f t="shared" si="226"/>
        <v>0</v>
      </c>
      <c r="Y327" s="27">
        <f t="shared" si="227"/>
        <v>0</v>
      </c>
      <c r="Z327" s="4">
        <f t="shared" si="228"/>
        <v>0</v>
      </c>
      <c r="AA327" s="82">
        <f>+'Finished goods'!$O$3*'PRIVATE CUSTOMER (BtoC)'!T327</f>
        <v>0</v>
      </c>
      <c r="AB327" s="82">
        <f>+'Finished goods'!$P$8*R327</f>
        <v>0</v>
      </c>
      <c r="AC327" s="83">
        <f t="shared" si="229"/>
        <v>0</v>
      </c>
      <c r="AD327" s="93" t="e">
        <f t="shared" si="230"/>
        <v>#DIV/0!</v>
      </c>
      <c r="AE327" s="93">
        <f>+'REVENUE DATA'!$D$8</f>
        <v>350</v>
      </c>
      <c r="AF327" s="90" t="e">
        <f t="shared" si="231"/>
        <v>#DIV/0!</v>
      </c>
      <c r="AG327" s="91" t="e">
        <f t="shared" si="232"/>
        <v>#DIV/0!</v>
      </c>
      <c r="AH327" s="92">
        <f t="shared" si="233"/>
        <v>0</v>
      </c>
    </row>
    <row r="328" spans="1:34" x14ac:dyDescent="0.3">
      <c r="A328" s="223"/>
      <c r="B328" s="4"/>
      <c r="C328" s="4" t="str">
        <f t="shared" si="222"/>
        <v>Porta riviste</v>
      </c>
      <c r="D328" s="5">
        <f t="shared" si="222"/>
        <v>10</v>
      </c>
      <c r="E328" s="5">
        <f t="shared" si="222"/>
        <v>10</v>
      </c>
      <c r="F328" s="5">
        <f t="shared" si="222"/>
        <v>0.42</v>
      </c>
      <c r="G328" s="5">
        <f t="shared" si="222"/>
        <v>42</v>
      </c>
      <c r="H328" s="4">
        <f t="shared" si="222"/>
        <v>3.5606798E-3</v>
      </c>
      <c r="I328" s="6">
        <f t="shared" si="222"/>
        <v>9.890777222222221</v>
      </c>
      <c r="J328" s="6">
        <f t="shared" si="222"/>
        <v>8.9016994999999994</v>
      </c>
      <c r="R328" s="23">
        <v>0</v>
      </c>
      <c r="S328" s="6">
        <f t="shared" si="220"/>
        <v>0</v>
      </c>
      <c r="T328" s="6">
        <f t="shared" si="223"/>
        <v>0</v>
      </c>
      <c r="U328" s="4">
        <f t="shared" si="224"/>
        <v>0</v>
      </c>
      <c r="V328" s="115">
        <f>+S328*$M$3/'COST DATA'!$D$26</f>
        <v>0</v>
      </c>
      <c r="W328" s="16">
        <f t="shared" si="225"/>
        <v>0</v>
      </c>
      <c r="X328" s="27">
        <f t="shared" si="226"/>
        <v>0</v>
      </c>
      <c r="Y328" s="27">
        <f t="shared" si="227"/>
        <v>0</v>
      </c>
      <c r="Z328" s="4">
        <f t="shared" si="228"/>
        <v>0</v>
      </c>
      <c r="AA328" s="82">
        <f>+'Finished goods'!$O$3*'PRIVATE CUSTOMER (BtoC)'!T328</f>
        <v>0</v>
      </c>
      <c r="AB328" s="82">
        <f>+'Finished goods'!$P$9*R328</f>
        <v>0</v>
      </c>
      <c r="AC328" s="83">
        <f t="shared" si="229"/>
        <v>0</v>
      </c>
      <c r="AD328" s="93" t="e">
        <f t="shared" si="230"/>
        <v>#DIV/0!</v>
      </c>
      <c r="AE328" s="93">
        <f>+'REVENUE DATA'!$D$9</f>
        <v>180</v>
      </c>
      <c r="AF328" s="90" t="e">
        <f t="shared" si="231"/>
        <v>#DIV/0!</v>
      </c>
      <c r="AG328" s="91" t="e">
        <f t="shared" si="232"/>
        <v>#DIV/0!</v>
      </c>
      <c r="AH328" s="92">
        <f t="shared" si="233"/>
        <v>0</v>
      </c>
    </row>
    <row r="329" spans="1:34" x14ac:dyDescent="0.3">
      <c r="A329" s="223"/>
      <c r="B329" s="4"/>
      <c r="C329" s="4" t="str">
        <f t="shared" si="222"/>
        <v>Lampada 90 grossa</v>
      </c>
      <c r="D329" s="5">
        <f t="shared" si="222"/>
        <v>8</v>
      </c>
      <c r="E329" s="5">
        <f t="shared" si="222"/>
        <v>10</v>
      </c>
      <c r="F329" s="5">
        <f t="shared" si="222"/>
        <v>1.39</v>
      </c>
      <c r="G329" s="5">
        <f t="shared" si="222"/>
        <v>99</v>
      </c>
      <c r="H329" s="4">
        <f t="shared" si="222"/>
        <v>1.7366300000000001E-3</v>
      </c>
      <c r="I329" s="6">
        <f t="shared" si="222"/>
        <v>4.8239722222222232</v>
      </c>
      <c r="J329" s="6">
        <f t="shared" si="222"/>
        <v>4.3415750000000006</v>
      </c>
      <c r="R329" s="23">
        <v>0</v>
      </c>
      <c r="S329" s="6">
        <f t="shared" si="220"/>
        <v>0</v>
      </c>
      <c r="T329" s="6">
        <f t="shared" si="223"/>
        <v>0</v>
      </c>
      <c r="U329" s="4">
        <f t="shared" si="224"/>
        <v>0</v>
      </c>
      <c r="V329" s="115">
        <f>+S329*$M$3/'COST DATA'!$D$26</f>
        <v>0</v>
      </c>
      <c r="W329" s="16">
        <f t="shared" si="225"/>
        <v>0</v>
      </c>
      <c r="X329" s="27">
        <f t="shared" si="226"/>
        <v>0</v>
      </c>
      <c r="Y329" s="27">
        <f t="shared" si="227"/>
        <v>0</v>
      </c>
      <c r="Z329" s="4">
        <f t="shared" si="228"/>
        <v>0</v>
      </c>
      <c r="AA329" s="82">
        <f>+'Finished goods'!$O$3*'PRIVATE CUSTOMER (BtoC)'!T329</f>
        <v>0</v>
      </c>
      <c r="AB329" s="82">
        <f>+'Finished goods'!$P$10*R329</f>
        <v>0</v>
      </c>
      <c r="AC329" s="83">
        <f t="shared" si="229"/>
        <v>0</v>
      </c>
      <c r="AD329" s="93" t="e">
        <f t="shared" si="230"/>
        <v>#DIV/0!</v>
      </c>
      <c r="AE329" s="93">
        <f>+'REVENUE DATA'!$D$10</f>
        <v>450</v>
      </c>
      <c r="AF329" s="90" t="e">
        <f t="shared" si="231"/>
        <v>#DIV/0!</v>
      </c>
      <c r="AG329" s="91" t="e">
        <f t="shared" si="232"/>
        <v>#DIV/0!</v>
      </c>
      <c r="AH329" s="92">
        <f t="shared" si="233"/>
        <v>0</v>
      </c>
    </row>
    <row r="330" spans="1:34" x14ac:dyDescent="0.3">
      <c r="A330" s="223"/>
      <c r="B330" s="4"/>
      <c r="C330" s="4" t="str">
        <f t="shared" si="222"/>
        <v>Lampada 90 piccola</v>
      </c>
      <c r="D330" s="5">
        <f t="shared" si="222"/>
        <v>5</v>
      </c>
      <c r="E330" s="5">
        <f t="shared" si="222"/>
        <v>10</v>
      </c>
      <c r="F330" s="5">
        <f t="shared" si="222"/>
        <v>1.1499999999999999</v>
      </c>
      <c r="G330" s="5">
        <f t="shared" si="222"/>
        <v>75</v>
      </c>
      <c r="H330" s="4">
        <f t="shared" si="222"/>
        <v>8.1557296000000004E-4</v>
      </c>
      <c r="I330" s="6">
        <f t="shared" si="222"/>
        <v>2.2654804444444445</v>
      </c>
      <c r="J330" s="6">
        <f t="shared" si="222"/>
        <v>2.0389324000000002</v>
      </c>
      <c r="R330" s="23">
        <v>0</v>
      </c>
      <c r="S330" s="6">
        <f t="shared" si="220"/>
        <v>0</v>
      </c>
      <c r="T330" s="6">
        <f t="shared" si="223"/>
        <v>0</v>
      </c>
      <c r="U330" s="4">
        <f t="shared" si="224"/>
        <v>0</v>
      </c>
      <c r="V330" s="115">
        <f>+S330*$M$3/'COST DATA'!$D$26</f>
        <v>0</v>
      </c>
      <c r="W330" s="16">
        <f t="shared" si="225"/>
        <v>0</v>
      </c>
      <c r="X330" s="27">
        <f t="shared" si="226"/>
        <v>0</v>
      </c>
      <c r="Y330" s="27">
        <f t="shared" si="227"/>
        <v>0</v>
      </c>
      <c r="Z330" s="4">
        <f t="shared" si="228"/>
        <v>0</v>
      </c>
      <c r="AA330" s="82">
        <f>+'Finished goods'!$O$3*'PRIVATE CUSTOMER (BtoC)'!T330</f>
        <v>0</v>
      </c>
      <c r="AB330" s="82">
        <f>+'Finished goods'!$P$11*R330</f>
        <v>0</v>
      </c>
      <c r="AC330" s="83">
        <f t="shared" si="229"/>
        <v>0</v>
      </c>
      <c r="AD330" s="93" t="e">
        <f t="shared" si="230"/>
        <v>#DIV/0!</v>
      </c>
      <c r="AE330" s="93">
        <f>+'REVENUE DATA'!$D$11</f>
        <v>200</v>
      </c>
      <c r="AF330" s="90" t="e">
        <f t="shared" si="231"/>
        <v>#DIV/0!</v>
      </c>
      <c r="AG330" s="91" t="e">
        <f t="shared" si="232"/>
        <v>#DIV/0!</v>
      </c>
      <c r="AH330" s="92">
        <f t="shared" si="233"/>
        <v>0</v>
      </c>
    </row>
    <row r="331" spans="1:34" x14ac:dyDescent="0.3">
      <c r="A331" s="223"/>
      <c r="B331" s="4"/>
      <c r="C331" s="4" t="str">
        <f t="shared" si="222"/>
        <v>Vaso Logo</v>
      </c>
      <c r="D331" s="5">
        <f t="shared" si="222"/>
        <v>5</v>
      </c>
      <c r="E331" s="5">
        <f t="shared" si="222"/>
        <v>10</v>
      </c>
      <c r="F331" s="5">
        <f t="shared" si="222"/>
        <v>0.39</v>
      </c>
      <c r="G331" s="5">
        <f t="shared" si="222"/>
        <v>39</v>
      </c>
      <c r="H331" s="4">
        <f t="shared" si="222"/>
        <v>1.1639584900000001E-3</v>
      </c>
      <c r="I331" s="6">
        <f t="shared" si="222"/>
        <v>3.2332180277777778</v>
      </c>
      <c r="J331" s="6">
        <f t="shared" si="222"/>
        <v>2.9098962250000002</v>
      </c>
      <c r="R331" s="23">
        <v>0</v>
      </c>
      <c r="S331" s="6">
        <f t="shared" si="220"/>
        <v>0</v>
      </c>
      <c r="T331" s="6">
        <f t="shared" si="223"/>
        <v>0</v>
      </c>
      <c r="U331" s="4">
        <f t="shared" si="224"/>
        <v>0</v>
      </c>
      <c r="V331" s="115">
        <f>+S331*$M$3/'COST DATA'!$D$26</f>
        <v>0</v>
      </c>
      <c r="W331" s="16">
        <f t="shared" si="225"/>
        <v>0</v>
      </c>
      <c r="X331" s="27">
        <f t="shared" si="226"/>
        <v>0</v>
      </c>
      <c r="Y331" s="27">
        <f t="shared" si="227"/>
        <v>0</v>
      </c>
      <c r="Z331" s="4">
        <f t="shared" si="228"/>
        <v>0</v>
      </c>
      <c r="AA331" s="82">
        <f>+'Finished goods'!$O$3*'PRIVATE CUSTOMER (BtoC)'!T331</f>
        <v>0</v>
      </c>
      <c r="AB331" s="82">
        <f>+'Finished goods'!$P$12*R331</f>
        <v>0</v>
      </c>
      <c r="AC331" s="83">
        <f t="shared" si="229"/>
        <v>0</v>
      </c>
      <c r="AD331" s="93" t="e">
        <f t="shared" si="230"/>
        <v>#DIV/0!</v>
      </c>
      <c r="AE331" s="93">
        <f>+'REVENUE DATA'!$D$12</f>
        <v>350</v>
      </c>
      <c r="AF331" s="90" t="e">
        <f t="shared" si="231"/>
        <v>#DIV/0!</v>
      </c>
      <c r="AG331" s="91" t="e">
        <f t="shared" si="232"/>
        <v>#DIV/0!</v>
      </c>
      <c r="AH331" s="92">
        <f t="shared" si="233"/>
        <v>0</v>
      </c>
    </row>
    <row r="332" spans="1:34" x14ac:dyDescent="0.3">
      <c r="A332" s="223"/>
      <c r="B332" s="4"/>
      <c r="C332" s="4" t="str">
        <f t="shared" si="222"/>
        <v>Copri candela</v>
      </c>
      <c r="D332" s="5">
        <f t="shared" si="222"/>
        <v>4</v>
      </c>
      <c r="E332" s="5">
        <f t="shared" si="222"/>
        <v>5</v>
      </c>
      <c r="F332" s="5">
        <f t="shared" si="222"/>
        <v>0.34</v>
      </c>
      <c r="G332" s="5">
        <f t="shared" si="222"/>
        <v>34</v>
      </c>
      <c r="H332" s="4">
        <f t="shared" si="222"/>
        <v>2.3780405299999999E-4</v>
      </c>
      <c r="I332" s="6">
        <f t="shared" si="222"/>
        <v>0.66056681388888883</v>
      </c>
      <c r="J332" s="6">
        <f t="shared" si="222"/>
        <v>0.59451013249999995</v>
      </c>
      <c r="R332" s="23">
        <v>0</v>
      </c>
      <c r="S332" s="6">
        <f t="shared" si="220"/>
        <v>0</v>
      </c>
      <c r="T332" s="6">
        <f t="shared" si="223"/>
        <v>0</v>
      </c>
      <c r="U332" s="4">
        <f t="shared" si="224"/>
        <v>0</v>
      </c>
      <c r="V332" s="115">
        <f>+S332*$M$3/'COST DATA'!$D$26</f>
        <v>0</v>
      </c>
      <c r="W332" s="16">
        <f t="shared" si="225"/>
        <v>0</v>
      </c>
      <c r="X332" s="27">
        <f t="shared" si="226"/>
        <v>0</v>
      </c>
      <c r="Y332" s="27">
        <f t="shared" si="227"/>
        <v>0</v>
      </c>
      <c r="Z332" s="4">
        <f t="shared" si="228"/>
        <v>0</v>
      </c>
      <c r="AA332" s="82">
        <f>+'Finished goods'!$O$3*'PRIVATE CUSTOMER (BtoC)'!T332</f>
        <v>0</v>
      </c>
      <c r="AB332" s="82">
        <f>+'Finished goods'!$P$13*R332</f>
        <v>0</v>
      </c>
      <c r="AC332" s="83">
        <f t="shared" si="229"/>
        <v>0</v>
      </c>
      <c r="AD332" s="93" t="e">
        <f t="shared" si="230"/>
        <v>#DIV/0!</v>
      </c>
      <c r="AE332" s="93">
        <f>+'REVENUE DATA'!$D$13</f>
        <v>75</v>
      </c>
      <c r="AF332" s="90" t="e">
        <f t="shared" si="231"/>
        <v>#DIV/0!</v>
      </c>
      <c r="AG332" s="91" t="e">
        <f t="shared" si="232"/>
        <v>#DIV/0!</v>
      </c>
      <c r="AH332" s="92">
        <f t="shared" si="233"/>
        <v>0</v>
      </c>
    </row>
    <row r="333" spans="1:34" x14ac:dyDescent="0.3">
      <c r="A333" s="223"/>
      <c r="B333" s="4"/>
      <c r="C333" s="4" t="str">
        <f t="shared" si="222"/>
        <v xml:space="preserve">Vaso Grosso </v>
      </c>
      <c r="D333" s="5">
        <f t="shared" si="222"/>
        <v>4</v>
      </c>
      <c r="E333" s="5">
        <f t="shared" si="222"/>
        <v>5</v>
      </c>
      <c r="F333" s="5">
        <f t="shared" si="222"/>
        <v>1.31</v>
      </c>
      <c r="G333" s="5">
        <f t="shared" si="222"/>
        <v>91</v>
      </c>
      <c r="H333" s="4">
        <f t="shared" si="222"/>
        <v>9.52764444E-4</v>
      </c>
      <c r="I333" s="6">
        <f t="shared" si="222"/>
        <v>2.6465679</v>
      </c>
      <c r="J333" s="6">
        <f t="shared" si="222"/>
        <v>2.3819111099999999</v>
      </c>
      <c r="R333" s="23">
        <v>0</v>
      </c>
      <c r="S333" s="6">
        <f t="shared" si="220"/>
        <v>0</v>
      </c>
      <c r="T333" s="6">
        <f t="shared" si="223"/>
        <v>0</v>
      </c>
      <c r="U333" s="4">
        <f t="shared" si="224"/>
        <v>0</v>
      </c>
      <c r="V333" s="115">
        <f>+S333*$M$3/'COST DATA'!$D$26</f>
        <v>0</v>
      </c>
      <c r="W333" s="16">
        <f t="shared" si="225"/>
        <v>0</v>
      </c>
      <c r="X333" s="27">
        <f t="shared" si="226"/>
        <v>0</v>
      </c>
      <c r="Y333" s="27">
        <f t="shared" si="227"/>
        <v>0</v>
      </c>
      <c r="Z333" s="4">
        <f t="shared" si="228"/>
        <v>0</v>
      </c>
      <c r="AA333" s="82">
        <f>+'Finished goods'!$O$3*'PRIVATE CUSTOMER (BtoC)'!T333</f>
        <v>0</v>
      </c>
      <c r="AB333" s="82">
        <f>+'Finished goods'!$P$14*R333</f>
        <v>0</v>
      </c>
      <c r="AC333" s="83">
        <f t="shared" si="229"/>
        <v>0</v>
      </c>
      <c r="AD333" s="93" t="e">
        <f t="shared" si="230"/>
        <v>#DIV/0!</v>
      </c>
      <c r="AE333" s="93">
        <f>+'REVENUE DATA'!$D$14</f>
        <v>250</v>
      </c>
      <c r="AF333" s="90" t="e">
        <f t="shared" si="231"/>
        <v>#DIV/0!</v>
      </c>
      <c r="AG333" s="91" t="e">
        <f t="shared" si="232"/>
        <v>#DIV/0!</v>
      </c>
      <c r="AH333" s="92">
        <f t="shared" si="233"/>
        <v>0</v>
      </c>
    </row>
    <row r="334" spans="1:34" x14ac:dyDescent="0.3">
      <c r="A334" s="223"/>
      <c r="B334" s="4"/>
      <c r="C334" s="4" t="str">
        <f t="shared" si="222"/>
        <v>Bicchiere curve dritto</v>
      </c>
      <c r="D334" s="5">
        <f t="shared" si="222"/>
        <v>2</v>
      </c>
      <c r="E334" s="5">
        <f t="shared" si="222"/>
        <v>2</v>
      </c>
      <c r="F334" s="5">
        <f t="shared" si="222"/>
        <v>0.26</v>
      </c>
      <c r="G334" s="5">
        <f t="shared" si="222"/>
        <v>26</v>
      </c>
      <c r="H334" s="4">
        <f t="shared" si="222"/>
        <v>1.6928511099999999E-4</v>
      </c>
      <c r="I334" s="6">
        <f t="shared" si="222"/>
        <v>0.47023641944444439</v>
      </c>
      <c r="J334" s="6">
        <f t="shared" si="222"/>
        <v>0.42321277749999997</v>
      </c>
      <c r="R334" s="23">
        <v>0</v>
      </c>
      <c r="S334" s="6">
        <f t="shared" si="220"/>
        <v>0</v>
      </c>
      <c r="T334" s="6">
        <f t="shared" si="223"/>
        <v>0</v>
      </c>
      <c r="U334" s="4">
        <f t="shared" si="224"/>
        <v>0</v>
      </c>
      <c r="V334" s="115">
        <f>+S334*$M$3/'COST DATA'!$D$26</f>
        <v>0</v>
      </c>
      <c r="W334" s="16">
        <f t="shared" si="225"/>
        <v>0</v>
      </c>
      <c r="X334" s="27">
        <f t="shared" si="226"/>
        <v>0</v>
      </c>
      <c r="Y334" s="27">
        <f t="shared" si="227"/>
        <v>0</v>
      </c>
      <c r="Z334" s="4">
        <f t="shared" si="228"/>
        <v>0</v>
      </c>
      <c r="AA334" s="82">
        <f>+'Finished goods'!$O$3*'PRIVATE CUSTOMER (BtoC)'!T334</f>
        <v>0</v>
      </c>
      <c r="AB334" s="82">
        <f>+'Finished goods'!$P$15*R334</f>
        <v>0</v>
      </c>
      <c r="AC334" s="83">
        <f t="shared" si="229"/>
        <v>0</v>
      </c>
      <c r="AD334" s="93" t="e">
        <f t="shared" si="230"/>
        <v>#DIV/0!</v>
      </c>
      <c r="AE334" s="93">
        <f>+'REVENUE DATA'!$D$15</f>
        <v>0</v>
      </c>
      <c r="AF334" s="90" t="e">
        <f t="shared" si="231"/>
        <v>#DIV/0!</v>
      </c>
      <c r="AG334" s="91" t="e">
        <f t="shared" si="232"/>
        <v>#DIV/0!</v>
      </c>
      <c r="AH334" s="92">
        <f t="shared" si="233"/>
        <v>0</v>
      </c>
    </row>
    <row r="335" spans="1:34" x14ac:dyDescent="0.3">
      <c r="A335" s="223"/>
      <c r="B335" s="4"/>
      <c r="C335" s="4" t="str">
        <f t="shared" si="222"/>
        <v>Bicchiere curve twist</v>
      </c>
      <c r="D335" s="5">
        <f t="shared" si="222"/>
        <v>2</v>
      </c>
      <c r="E335" s="5">
        <f t="shared" si="222"/>
        <v>2</v>
      </c>
      <c r="F335" s="5">
        <f t="shared" si="222"/>
        <v>0.25</v>
      </c>
      <c r="G335" s="5">
        <f t="shared" si="222"/>
        <v>25</v>
      </c>
      <c r="H335" s="4">
        <f t="shared" si="222"/>
        <v>1.69285896E-4</v>
      </c>
      <c r="I335" s="6">
        <f t="shared" si="222"/>
        <v>0.47023859999999995</v>
      </c>
      <c r="J335" s="6">
        <f t="shared" si="222"/>
        <v>0.42321473999999998</v>
      </c>
      <c r="R335" s="23">
        <v>0</v>
      </c>
      <c r="S335" s="6">
        <f t="shared" si="220"/>
        <v>0</v>
      </c>
      <c r="T335" s="6">
        <f t="shared" si="223"/>
        <v>0</v>
      </c>
      <c r="U335" s="4">
        <f t="shared" si="224"/>
        <v>0</v>
      </c>
      <c r="V335" s="115">
        <f>+S335*$M$3/'COST DATA'!$D$26</f>
        <v>0</v>
      </c>
      <c r="W335" s="16">
        <f t="shared" si="225"/>
        <v>0</v>
      </c>
      <c r="X335" s="27">
        <f t="shared" si="226"/>
        <v>0</v>
      </c>
      <c r="Y335" s="27">
        <f t="shared" si="227"/>
        <v>0</v>
      </c>
      <c r="Z335" s="4">
        <f t="shared" si="228"/>
        <v>0</v>
      </c>
      <c r="AA335" s="82">
        <f>+'Finished goods'!$O$3*'PRIVATE CUSTOMER (BtoC)'!T335</f>
        <v>0</v>
      </c>
      <c r="AB335" s="82">
        <f>+'Finished goods'!$P$16*R335</f>
        <v>0</v>
      </c>
      <c r="AC335" s="83">
        <f t="shared" si="229"/>
        <v>0</v>
      </c>
      <c r="AD335" s="93" t="e">
        <f t="shared" si="230"/>
        <v>#DIV/0!</v>
      </c>
      <c r="AE335" s="93">
        <f>+'REVENUE DATA'!$D$16</f>
        <v>0</v>
      </c>
      <c r="AF335" s="90" t="e">
        <f t="shared" si="231"/>
        <v>#DIV/0!</v>
      </c>
      <c r="AG335" s="91" t="e">
        <f t="shared" si="232"/>
        <v>#DIV/0!</v>
      </c>
      <c r="AH335" s="92">
        <f t="shared" si="233"/>
        <v>0</v>
      </c>
    </row>
    <row r="336" spans="1:34" x14ac:dyDescent="0.3">
      <c r="A336" s="223"/>
      <c r="B336" s="4"/>
      <c r="C336" s="4" t="str">
        <f t="shared" si="222"/>
        <v>Caraffa curva</v>
      </c>
      <c r="D336" s="5">
        <f t="shared" si="222"/>
        <v>2</v>
      </c>
      <c r="E336" s="5">
        <f t="shared" si="222"/>
        <v>2</v>
      </c>
      <c r="F336" s="5">
        <f t="shared" si="222"/>
        <v>0.56999999999999995</v>
      </c>
      <c r="G336" s="5">
        <f t="shared" si="222"/>
        <v>57</v>
      </c>
      <c r="H336" s="4">
        <f t="shared" si="222"/>
        <v>3.69342133E-4</v>
      </c>
      <c r="I336" s="6">
        <f t="shared" si="222"/>
        <v>1.0259503694444445</v>
      </c>
      <c r="J336" s="6">
        <f t="shared" si="222"/>
        <v>0.92335533250000001</v>
      </c>
      <c r="R336" s="23">
        <v>0</v>
      </c>
      <c r="S336" s="6">
        <f t="shared" si="220"/>
        <v>0</v>
      </c>
      <c r="T336" s="6">
        <f t="shared" si="223"/>
        <v>0</v>
      </c>
      <c r="U336" s="4">
        <f t="shared" si="224"/>
        <v>0</v>
      </c>
      <c r="V336" s="115">
        <f>+S336*$M$3/'COST DATA'!$D$26</f>
        <v>0</v>
      </c>
      <c r="W336" s="16">
        <f>+U336*$N$3</f>
        <v>0</v>
      </c>
      <c r="X336" s="27">
        <f t="shared" si="226"/>
        <v>0</v>
      </c>
      <c r="Y336" s="27">
        <f t="shared" si="227"/>
        <v>0</v>
      </c>
      <c r="Z336" s="4">
        <f t="shared" si="228"/>
        <v>0</v>
      </c>
      <c r="AA336" s="82">
        <f>+'Finished goods'!$O$3*'PRIVATE CUSTOMER (BtoC)'!T336</f>
        <v>0</v>
      </c>
      <c r="AB336" s="82">
        <f>+'Finished goods'!$P$17*R336</f>
        <v>0</v>
      </c>
      <c r="AC336" s="83">
        <f t="shared" si="229"/>
        <v>0</v>
      </c>
      <c r="AD336" s="93" t="e">
        <f t="shared" si="230"/>
        <v>#DIV/0!</v>
      </c>
      <c r="AE336" s="93">
        <f>+'REVENUE DATA'!$D$17</f>
        <v>30</v>
      </c>
      <c r="AF336" s="90" t="e">
        <f t="shared" si="231"/>
        <v>#DIV/0!</v>
      </c>
      <c r="AG336" s="91" t="e">
        <f t="shared" si="232"/>
        <v>#DIV/0!</v>
      </c>
      <c r="AH336" s="92">
        <f t="shared" si="233"/>
        <v>0</v>
      </c>
    </row>
    <row r="337" spans="1:34" x14ac:dyDescent="0.3">
      <c r="A337" s="223"/>
      <c r="B337" s="4"/>
      <c r="C337" s="4" t="str">
        <f t="shared" si="222"/>
        <v>Caraffa colonna dritta</v>
      </c>
      <c r="D337" s="5">
        <f t="shared" si="222"/>
        <v>2</v>
      </c>
      <c r="E337" s="5">
        <f t="shared" si="222"/>
        <v>1</v>
      </c>
      <c r="F337" s="5">
        <f t="shared" si="222"/>
        <v>1.4</v>
      </c>
      <c r="G337" s="5">
        <f t="shared" si="222"/>
        <v>100</v>
      </c>
      <c r="H337" s="4">
        <f t="shared" si="222"/>
        <v>3.2796365999999998E-4</v>
      </c>
      <c r="I337" s="6">
        <f t="shared" si="222"/>
        <v>0.91101016666666657</v>
      </c>
      <c r="J337" s="6">
        <f t="shared" si="222"/>
        <v>0.81990914999999998</v>
      </c>
      <c r="R337" s="23">
        <v>0</v>
      </c>
      <c r="S337" s="6">
        <f t="shared" si="220"/>
        <v>0</v>
      </c>
      <c r="T337" s="6">
        <f t="shared" si="223"/>
        <v>0</v>
      </c>
      <c r="U337" s="4">
        <f t="shared" si="224"/>
        <v>0</v>
      </c>
      <c r="V337" s="115">
        <f>+S337*$M$3/'COST DATA'!$D$26</f>
        <v>0</v>
      </c>
      <c r="W337" s="16">
        <f t="shared" ref="W337:W346" si="234">+U337*$N$3</f>
        <v>0</v>
      </c>
      <c r="X337" s="27">
        <f t="shared" si="226"/>
        <v>0</v>
      </c>
      <c r="Y337" s="27">
        <f t="shared" si="227"/>
        <v>0</v>
      </c>
      <c r="Z337" s="4">
        <f t="shared" si="228"/>
        <v>0</v>
      </c>
      <c r="AA337" s="82">
        <f>+'Finished goods'!$O$3*'PRIVATE CUSTOMER (BtoC)'!T337</f>
        <v>0</v>
      </c>
      <c r="AB337" s="82">
        <f>+'Finished goods'!$P$18*R337</f>
        <v>0</v>
      </c>
      <c r="AC337" s="83">
        <f t="shared" si="229"/>
        <v>0</v>
      </c>
      <c r="AD337" s="93" t="e">
        <f t="shared" si="230"/>
        <v>#DIV/0!</v>
      </c>
      <c r="AE337" s="93">
        <f>+'REVENUE DATA'!$D$18</f>
        <v>30</v>
      </c>
      <c r="AF337" s="90" t="e">
        <f t="shared" si="231"/>
        <v>#DIV/0!</v>
      </c>
      <c r="AG337" s="91" t="e">
        <f t="shared" si="232"/>
        <v>#DIV/0!</v>
      </c>
      <c r="AH337" s="92">
        <f t="shared" si="233"/>
        <v>0</v>
      </c>
    </row>
    <row r="338" spans="1:34" x14ac:dyDescent="0.3">
      <c r="A338" s="223"/>
      <c r="B338" s="4"/>
      <c r="C338" s="4" t="str">
        <f t="shared" si="222"/>
        <v>Caraffa colonna twist1</v>
      </c>
      <c r="D338" s="5">
        <f t="shared" si="222"/>
        <v>2</v>
      </c>
      <c r="E338" s="5">
        <f t="shared" si="222"/>
        <v>1</v>
      </c>
      <c r="F338" s="5">
        <f t="shared" si="222"/>
        <v>1.41</v>
      </c>
      <c r="G338" s="5">
        <f t="shared" si="222"/>
        <v>101</v>
      </c>
      <c r="H338" s="4">
        <f t="shared" si="222"/>
        <v>3.323221E-4</v>
      </c>
      <c r="I338" s="6">
        <f t="shared" si="222"/>
        <v>0.92311694444444448</v>
      </c>
      <c r="J338" s="6">
        <f t="shared" si="222"/>
        <v>0.83080525000000005</v>
      </c>
      <c r="R338" s="23">
        <v>0</v>
      </c>
      <c r="S338" s="6">
        <f t="shared" si="220"/>
        <v>0</v>
      </c>
      <c r="T338" s="6">
        <f t="shared" si="223"/>
        <v>0</v>
      </c>
      <c r="U338" s="4">
        <f t="shared" si="224"/>
        <v>0</v>
      </c>
      <c r="V338" s="115">
        <f>+S338*$M$3/'COST DATA'!$D$26</f>
        <v>0</v>
      </c>
      <c r="W338" s="16">
        <f t="shared" si="234"/>
        <v>0</v>
      </c>
      <c r="X338" s="27">
        <f t="shared" si="226"/>
        <v>0</v>
      </c>
      <c r="Y338" s="27">
        <f t="shared" si="227"/>
        <v>0</v>
      </c>
      <c r="Z338" s="4">
        <f t="shared" si="228"/>
        <v>0</v>
      </c>
      <c r="AA338" s="82">
        <f>+'Finished goods'!$O$3*'PRIVATE CUSTOMER (BtoC)'!T338</f>
        <v>0</v>
      </c>
      <c r="AB338" s="82">
        <f>+'Finished goods'!$P$19*R338</f>
        <v>0</v>
      </c>
      <c r="AC338" s="83">
        <f t="shared" si="229"/>
        <v>0</v>
      </c>
      <c r="AD338" s="93" t="e">
        <f t="shared" si="230"/>
        <v>#DIV/0!</v>
      </c>
      <c r="AE338" s="93">
        <f>+'REVENUE DATA'!$D$19</f>
        <v>30</v>
      </c>
      <c r="AF338" s="90" t="e">
        <f t="shared" si="231"/>
        <v>#DIV/0!</v>
      </c>
      <c r="AG338" s="91" t="e">
        <f t="shared" si="232"/>
        <v>#DIV/0!</v>
      </c>
      <c r="AH338" s="92">
        <f t="shared" si="233"/>
        <v>0</v>
      </c>
    </row>
    <row r="339" spans="1:34" x14ac:dyDescent="0.3">
      <c r="A339" s="223"/>
      <c r="B339" s="4"/>
      <c r="C339" s="4" t="str">
        <f t="shared" si="222"/>
        <v>Caraffa colonna twist2</v>
      </c>
      <c r="D339" s="5">
        <f t="shared" si="222"/>
        <v>2</v>
      </c>
      <c r="E339" s="5">
        <f t="shared" si="222"/>
        <v>1</v>
      </c>
      <c r="F339" s="5">
        <f t="shared" si="222"/>
        <v>1.45</v>
      </c>
      <c r="G339" s="5">
        <f t="shared" si="222"/>
        <v>105</v>
      </c>
      <c r="H339" s="4">
        <f t="shared" si="222"/>
        <v>3.4271101000000001E-4</v>
      </c>
      <c r="I339" s="6">
        <f t="shared" si="222"/>
        <v>0.95197502777777776</v>
      </c>
      <c r="J339" s="6">
        <f t="shared" si="222"/>
        <v>0.85677752500000004</v>
      </c>
      <c r="R339" s="23">
        <v>0</v>
      </c>
      <c r="S339" s="6">
        <f t="shared" si="220"/>
        <v>0</v>
      </c>
      <c r="T339" s="6">
        <f t="shared" si="223"/>
        <v>0</v>
      </c>
      <c r="U339" s="4">
        <f t="shared" si="224"/>
        <v>0</v>
      </c>
      <c r="V339" s="115">
        <f>+S339*$M$3/'COST DATA'!$D$26</f>
        <v>0</v>
      </c>
      <c r="W339" s="16">
        <f t="shared" si="234"/>
        <v>0</v>
      </c>
      <c r="X339" s="27">
        <f t="shared" si="226"/>
        <v>0</v>
      </c>
      <c r="Y339" s="27">
        <f t="shared" si="227"/>
        <v>0</v>
      </c>
      <c r="Z339" s="4">
        <f t="shared" si="228"/>
        <v>0</v>
      </c>
      <c r="AA339" s="82">
        <f>+'Finished goods'!$O$3*'PRIVATE CUSTOMER (BtoC)'!T339</f>
        <v>0</v>
      </c>
      <c r="AB339" s="82">
        <f>+'Finished goods'!$P$20*R339</f>
        <v>0</v>
      </c>
      <c r="AC339" s="83">
        <f t="shared" si="229"/>
        <v>0</v>
      </c>
      <c r="AD339" s="93" t="e">
        <f t="shared" si="230"/>
        <v>#DIV/0!</v>
      </c>
      <c r="AE339" s="93">
        <f>+'REVENUE DATA'!$D$20</f>
        <v>30</v>
      </c>
      <c r="AF339" s="90" t="e">
        <f t="shared" si="231"/>
        <v>#DIV/0!</v>
      </c>
      <c r="AG339" s="91" t="e">
        <f t="shared" si="232"/>
        <v>#DIV/0!</v>
      </c>
      <c r="AH339" s="92">
        <f t="shared" si="233"/>
        <v>0</v>
      </c>
    </row>
    <row r="340" spans="1:34" x14ac:dyDescent="0.3">
      <c r="A340" s="223"/>
      <c r="B340" s="4"/>
      <c r="C340" s="4" t="str">
        <f t="shared" si="222"/>
        <v>Caraffa colonna twist3</v>
      </c>
      <c r="D340" s="5">
        <f t="shared" si="222"/>
        <v>2</v>
      </c>
      <c r="E340" s="5">
        <f t="shared" si="222"/>
        <v>1</v>
      </c>
      <c r="F340" s="5">
        <f t="shared" si="222"/>
        <v>1.42</v>
      </c>
      <c r="G340" s="5">
        <f t="shared" si="222"/>
        <v>102</v>
      </c>
      <c r="H340" s="4">
        <f t="shared" si="222"/>
        <v>3.3727121999999998E-4</v>
      </c>
      <c r="I340" s="6">
        <f t="shared" si="222"/>
        <v>0.93686449999999988</v>
      </c>
      <c r="J340" s="6">
        <f t="shared" si="222"/>
        <v>0.8431780499999999</v>
      </c>
      <c r="R340" s="23">
        <v>0</v>
      </c>
      <c r="S340" s="6">
        <f t="shared" si="220"/>
        <v>0</v>
      </c>
      <c r="T340" s="6">
        <f t="shared" si="223"/>
        <v>0</v>
      </c>
      <c r="U340" s="4">
        <f t="shared" si="224"/>
        <v>0</v>
      </c>
      <c r="V340" s="115">
        <f>+S340*$M$3/'COST DATA'!$D$26</f>
        <v>0</v>
      </c>
      <c r="W340" s="16">
        <f t="shared" si="234"/>
        <v>0</v>
      </c>
      <c r="X340" s="27">
        <f t="shared" si="226"/>
        <v>0</v>
      </c>
      <c r="Y340" s="27">
        <f t="shared" si="227"/>
        <v>0</v>
      </c>
      <c r="Z340" s="4">
        <f t="shared" si="228"/>
        <v>0</v>
      </c>
      <c r="AA340" s="82">
        <f>+'Finished goods'!$O$3*'PRIVATE CUSTOMER (BtoC)'!T340</f>
        <v>0</v>
      </c>
      <c r="AB340" s="82">
        <f>+'Finished goods'!$P$21*R340</f>
        <v>0</v>
      </c>
      <c r="AC340" s="83">
        <f t="shared" si="229"/>
        <v>0</v>
      </c>
      <c r="AD340" s="93" t="e">
        <f t="shared" si="230"/>
        <v>#DIV/0!</v>
      </c>
      <c r="AE340" s="93">
        <f>+'REVENUE DATA'!$D$21</f>
        <v>30</v>
      </c>
      <c r="AF340" s="90" t="e">
        <f t="shared" si="231"/>
        <v>#DIV/0!</v>
      </c>
      <c r="AG340" s="91" t="e">
        <f t="shared" si="232"/>
        <v>#DIV/0!</v>
      </c>
      <c r="AH340" s="92">
        <f t="shared" si="233"/>
        <v>0</v>
      </c>
    </row>
    <row r="341" spans="1:34" x14ac:dyDescent="0.3">
      <c r="A341" s="223"/>
      <c r="B341" s="4"/>
      <c r="C341" s="4" t="str">
        <f t="shared" si="222"/>
        <v>Bicchiere colonna twist1</v>
      </c>
      <c r="D341" s="5">
        <f t="shared" si="222"/>
        <v>1</v>
      </c>
      <c r="E341" s="5">
        <f t="shared" si="222"/>
        <v>1</v>
      </c>
      <c r="F341" s="5">
        <f t="shared" si="222"/>
        <v>0.57999999999999996</v>
      </c>
      <c r="G341" s="5">
        <f t="shared" si="222"/>
        <v>58</v>
      </c>
      <c r="H341" s="4">
        <f t="shared" si="222"/>
        <v>9.7981700000000004E-5</v>
      </c>
      <c r="I341" s="6">
        <f t="shared" si="222"/>
        <v>0.27217138888888892</v>
      </c>
      <c r="J341" s="6">
        <f t="shared" si="222"/>
        <v>0.24495425000000001</v>
      </c>
      <c r="R341" s="23">
        <v>0</v>
      </c>
      <c r="S341" s="6">
        <f t="shared" si="220"/>
        <v>0</v>
      </c>
      <c r="T341" s="6">
        <f t="shared" si="223"/>
        <v>0</v>
      </c>
      <c r="U341" s="4">
        <f t="shared" si="224"/>
        <v>0</v>
      </c>
      <c r="V341" s="115">
        <f>+S341*$M$3/'COST DATA'!$D$26</f>
        <v>0</v>
      </c>
      <c r="W341" s="16">
        <f t="shared" si="234"/>
        <v>0</v>
      </c>
      <c r="X341" s="27">
        <f t="shared" si="226"/>
        <v>0</v>
      </c>
      <c r="Y341" s="27">
        <f t="shared" si="227"/>
        <v>0</v>
      </c>
      <c r="Z341" s="4">
        <f t="shared" si="228"/>
        <v>0</v>
      </c>
      <c r="AA341" s="82">
        <f>+'Finished goods'!$O$3*'PRIVATE CUSTOMER (BtoC)'!T341</f>
        <v>0</v>
      </c>
      <c r="AB341" s="82">
        <f>+'Finished goods'!$P$22*R341</f>
        <v>0</v>
      </c>
      <c r="AC341" s="83">
        <f t="shared" si="229"/>
        <v>0</v>
      </c>
      <c r="AD341" s="93" t="e">
        <f t="shared" si="230"/>
        <v>#DIV/0!</v>
      </c>
      <c r="AE341" s="93">
        <f>+'REVENUE DATA'!$D$22</f>
        <v>0</v>
      </c>
      <c r="AF341" s="90" t="e">
        <f t="shared" si="231"/>
        <v>#DIV/0!</v>
      </c>
      <c r="AG341" s="91" t="e">
        <f t="shared" si="232"/>
        <v>#DIV/0!</v>
      </c>
      <c r="AH341" s="92">
        <f t="shared" si="233"/>
        <v>0</v>
      </c>
    </row>
    <row r="342" spans="1:34" x14ac:dyDescent="0.3">
      <c r="A342" s="223"/>
      <c r="B342" s="4"/>
      <c r="C342" s="4" t="str">
        <f t="shared" si="222"/>
        <v>Bicchiere colonna twist2</v>
      </c>
      <c r="D342" s="5">
        <f t="shared" si="222"/>
        <v>1</v>
      </c>
      <c r="E342" s="5">
        <f t="shared" si="222"/>
        <v>1</v>
      </c>
      <c r="F342" s="5">
        <f t="shared" si="222"/>
        <v>0.59</v>
      </c>
      <c r="G342" s="5">
        <f t="shared" si="222"/>
        <v>59</v>
      </c>
      <c r="H342" s="4">
        <f t="shared" si="222"/>
        <v>9.7982366999999995E-5</v>
      </c>
      <c r="I342" s="6">
        <f t="shared" si="222"/>
        <v>0.27217324166666662</v>
      </c>
      <c r="J342" s="6">
        <f t="shared" si="222"/>
        <v>0.24495591749999998</v>
      </c>
      <c r="R342" s="23">
        <v>0</v>
      </c>
      <c r="S342" s="6">
        <f t="shared" si="220"/>
        <v>0</v>
      </c>
      <c r="T342" s="6">
        <f t="shared" si="223"/>
        <v>0</v>
      </c>
      <c r="U342" s="4">
        <f t="shared" si="224"/>
        <v>0</v>
      </c>
      <c r="V342" s="115">
        <f>+S342*$M$3/'COST DATA'!$D$26</f>
        <v>0</v>
      </c>
      <c r="W342" s="16">
        <f t="shared" si="234"/>
        <v>0</v>
      </c>
      <c r="X342" s="27">
        <f t="shared" si="226"/>
        <v>0</v>
      </c>
      <c r="Y342" s="27">
        <f t="shared" si="227"/>
        <v>0</v>
      </c>
      <c r="Z342" s="4">
        <f t="shared" si="228"/>
        <v>0</v>
      </c>
      <c r="AA342" s="82">
        <f>+'Finished goods'!$O$3*'PRIVATE CUSTOMER (BtoC)'!T342</f>
        <v>0</v>
      </c>
      <c r="AB342" s="82">
        <f>+'Finished goods'!$P$23*R342</f>
        <v>0</v>
      </c>
      <c r="AC342" s="83">
        <f t="shared" si="229"/>
        <v>0</v>
      </c>
      <c r="AD342" s="93" t="e">
        <f t="shared" si="230"/>
        <v>#DIV/0!</v>
      </c>
      <c r="AE342" s="93">
        <f>+'REVENUE DATA'!$D$23</f>
        <v>0</v>
      </c>
      <c r="AF342" s="90" t="e">
        <f t="shared" si="231"/>
        <v>#DIV/0!</v>
      </c>
      <c r="AG342" s="91" t="e">
        <f t="shared" si="232"/>
        <v>#DIV/0!</v>
      </c>
      <c r="AH342" s="92">
        <f t="shared" si="233"/>
        <v>0</v>
      </c>
    </row>
    <row r="343" spans="1:34" x14ac:dyDescent="0.3">
      <c r="A343" s="223"/>
      <c r="B343" s="4"/>
      <c r="C343" s="4" t="str">
        <f t="shared" si="222"/>
        <v>Bicchiere colonna twist3</v>
      </c>
      <c r="D343" s="5">
        <f t="shared" si="222"/>
        <v>1</v>
      </c>
      <c r="E343" s="5">
        <f t="shared" si="222"/>
        <v>1</v>
      </c>
      <c r="F343" s="5">
        <f t="shared" si="222"/>
        <v>0.59</v>
      </c>
      <c r="G343" s="5">
        <f t="shared" si="222"/>
        <v>59</v>
      </c>
      <c r="H343" s="4">
        <f t="shared" si="222"/>
        <v>9.7984652999999995E-5</v>
      </c>
      <c r="I343" s="6">
        <f t="shared" si="222"/>
        <v>0.27217959166666666</v>
      </c>
      <c r="J343" s="6">
        <f t="shared" si="222"/>
        <v>0.2449616325</v>
      </c>
      <c r="R343" s="23">
        <v>0</v>
      </c>
      <c r="S343" s="6">
        <f t="shared" si="220"/>
        <v>0</v>
      </c>
      <c r="T343" s="6">
        <f t="shared" si="223"/>
        <v>0</v>
      </c>
      <c r="U343" s="4">
        <f t="shared" si="224"/>
        <v>0</v>
      </c>
      <c r="V343" s="115">
        <f>+S343*$M$3/'COST DATA'!$D$26</f>
        <v>0</v>
      </c>
      <c r="W343" s="16">
        <f t="shared" si="234"/>
        <v>0</v>
      </c>
      <c r="X343" s="27">
        <f t="shared" si="226"/>
        <v>0</v>
      </c>
      <c r="Y343" s="27">
        <f t="shared" si="227"/>
        <v>0</v>
      </c>
      <c r="Z343" s="4">
        <f t="shared" si="228"/>
        <v>0</v>
      </c>
      <c r="AA343" s="82">
        <f>+'Finished goods'!$O$3*'PRIVATE CUSTOMER (BtoC)'!T343</f>
        <v>0</v>
      </c>
      <c r="AB343" s="82">
        <f>+'Finished goods'!$P$24*R343</f>
        <v>0</v>
      </c>
      <c r="AC343" s="83">
        <f t="shared" si="229"/>
        <v>0</v>
      </c>
      <c r="AD343" s="93" t="e">
        <f t="shared" si="230"/>
        <v>#DIV/0!</v>
      </c>
      <c r="AE343" s="93">
        <f>+'REVENUE DATA'!$D$24</f>
        <v>0</v>
      </c>
      <c r="AF343" s="90" t="e">
        <f t="shared" si="231"/>
        <v>#DIV/0!</v>
      </c>
      <c r="AG343" s="91" t="e">
        <f t="shared" si="232"/>
        <v>#DIV/0!</v>
      </c>
      <c r="AH343" s="92">
        <f t="shared" si="233"/>
        <v>0</v>
      </c>
    </row>
    <row r="344" spans="1:34" x14ac:dyDescent="0.3">
      <c r="A344" s="223"/>
      <c r="B344" s="4"/>
      <c r="C344" s="4" t="str">
        <f t="shared" si="222"/>
        <v>Bicchiere colonna twist alto</v>
      </c>
      <c r="D344" s="5">
        <f t="shared" si="222"/>
        <v>1</v>
      </c>
      <c r="E344" s="5">
        <f t="shared" si="222"/>
        <v>1</v>
      </c>
      <c r="F344" s="5">
        <f t="shared" si="222"/>
        <v>0.57999999999999996</v>
      </c>
      <c r="G344" s="5">
        <f t="shared" si="222"/>
        <v>58</v>
      </c>
      <c r="H344" s="4">
        <f t="shared" si="222"/>
        <v>9.4065272999999995E-5</v>
      </c>
      <c r="I344" s="6">
        <f t="shared" si="222"/>
        <v>0.26129242499999999</v>
      </c>
      <c r="J344" s="6">
        <f t="shared" si="222"/>
        <v>0.23516318249999998</v>
      </c>
      <c r="R344" s="23">
        <v>0</v>
      </c>
      <c r="S344" s="6">
        <f t="shared" si="220"/>
        <v>0</v>
      </c>
      <c r="T344" s="6">
        <f t="shared" si="223"/>
        <v>0</v>
      </c>
      <c r="U344" s="4">
        <f t="shared" si="224"/>
        <v>0</v>
      </c>
      <c r="V344" s="115">
        <f>+S344*$M$3/'COST DATA'!$D$26</f>
        <v>0</v>
      </c>
      <c r="W344" s="16">
        <f t="shared" si="234"/>
        <v>0</v>
      </c>
      <c r="X344" s="27">
        <f t="shared" si="226"/>
        <v>0</v>
      </c>
      <c r="Y344" s="27">
        <f t="shared" si="227"/>
        <v>0</v>
      </c>
      <c r="Z344" s="4">
        <f t="shared" si="228"/>
        <v>0</v>
      </c>
      <c r="AA344" s="82">
        <f>+'Finished goods'!$O$3*'PRIVATE CUSTOMER (BtoC)'!T344</f>
        <v>0</v>
      </c>
      <c r="AB344" s="82">
        <f>+'Finished goods'!$P$25*R344</f>
        <v>0</v>
      </c>
      <c r="AC344" s="83">
        <f t="shared" si="229"/>
        <v>0</v>
      </c>
      <c r="AD344" s="93" t="e">
        <f t="shared" si="230"/>
        <v>#DIV/0!</v>
      </c>
      <c r="AE344" s="93">
        <f>+'REVENUE DATA'!$D$25</f>
        <v>0</v>
      </c>
      <c r="AF344" s="90" t="e">
        <f t="shared" si="231"/>
        <v>#DIV/0!</v>
      </c>
      <c r="AG344" s="91" t="e">
        <f t="shared" si="232"/>
        <v>#DIV/0!</v>
      </c>
      <c r="AH344" s="92">
        <f t="shared" si="233"/>
        <v>0</v>
      </c>
    </row>
    <row r="345" spans="1:34" x14ac:dyDescent="0.3">
      <c r="A345" s="223"/>
      <c r="B345" s="4"/>
      <c r="C345" s="4" t="str">
        <f t="shared" si="222"/>
        <v>Oliera1</v>
      </c>
      <c r="D345" s="5">
        <f t="shared" si="222"/>
        <v>2</v>
      </c>
      <c r="E345" s="5">
        <f t="shared" si="222"/>
        <v>1</v>
      </c>
      <c r="F345" s="5">
        <f t="shared" si="222"/>
        <v>0.54</v>
      </c>
      <c r="G345" s="5">
        <f t="shared" si="222"/>
        <v>54</v>
      </c>
      <c r="H345" s="4">
        <f t="shared" si="222"/>
        <v>1.830542E-4</v>
      </c>
      <c r="I345" s="6">
        <f t="shared" si="222"/>
        <v>0.50848388888888885</v>
      </c>
      <c r="J345" s="6">
        <f t="shared" si="222"/>
        <v>0.45763549999999997</v>
      </c>
      <c r="R345" s="23">
        <v>0</v>
      </c>
      <c r="S345" s="6">
        <f t="shared" si="220"/>
        <v>0</v>
      </c>
      <c r="T345" s="6">
        <f t="shared" si="223"/>
        <v>0</v>
      </c>
      <c r="U345" s="4">
        <f t="shared" si="224"/>
        <v>0</v>
      </c>
      <c r="V345" s="115">
        <f>+S345*$M$3/'COST DATA'!$D$26</f>
        <v>0</v>
      </c>
      <c r="W345" s="16">
        <f t="shared" si="234"/>
        <v>0</v>
      </c>
      <c r="X345" s="27">
        <f t="shared" si="226"/>
        <v>0</v>
      </c>
      <c r="Y345" s="27">
        <f t="shared" si="227"/>
        <v>0</v>
      </c>
      <c r="Z345" s="4">
        <f t="shared" si="228"/>
        <v>0</v>
      </c>
      <c r="AA345" s="82">
        <f>+'Finished goods'!$O$3*'PRIVATE CUSTOMER (BtoC)'!T345</f>
        <v>0</v>
      </c>
      <c r="AB345" s="82">
        <f>+'Finished goods'!$P$26*R345</f>
        <v>0</v>
      </c>
      <c r="AC345" s="83">
        <f t="shared" si="229"/>
        <v>0</v>
      </c>
      <c r="AD345" s="93" t="e">
        <f t="shared" si="230"/>
        <v>#DIV/0!</v>
      </c>
      <c r="AE345" s="93">
        <f>+'REVENUE DATA'!$D$26</f>
        <v>0</v>
      </c>
      <c r="AF345" s="90" t="e">
        <f t="shared" si="231"/>
        <v>#DIV/0!</v>
      </c>
      <c r="AG345" s="91" t="e">
        <f t="shared" si="232"/>
        <v>#DIV/0!</v>
      </c>
      <c r="AH345" s="92">
        <f t="shared" si="233"/>
        <v>0</v>
      </c>
    </row>
    <row r="346" spans="1:34" ht="15" thickBot="1" x14ac:dyDescent="0.35">
      <c r="A346" s="224"/>
      <c r="B346" s="4"/>
      <c r="C346" s="4" t="str">
        <f t="shared" si="222"/>
        <v>Piatto spirale</v>
      </c>
      <c r="D346" s="5">
        <f t="shared" si="222"/>
        <v>4</v>
      </c>
      <c r="E346" s="5">
        <f t="shared" si="222"/>
        <v>5</v>
      </c>
      <c r="F346" s="5">
        <f t="shared" si="222"/>
        <v>0.25</v>
      </c>
      <c r="G346" s="5">
        <f t="shared" si="222"/>
        <v>25</v>
      </c>
      <c r="H346" s="4">
        <f t="shared" si="222"/>
        <v>1.575448E-4</v>
      </c>
      <c r="I346" s="6">
        <f t="shared" si="222"/>
        <v>0.43762444444444443</v>
      </c>
      <c r="J346" s="6">
        <f t="shared" si="222"/>
        <v>0.39386199999999999</v>
      </c>
      <c r="R346" s="23">
        <v>0</v>
      </c>
      <c r="S346" s="6">
        <f t="shared" si="220"/>
        <v>0</v>
      </c>
      <c r="T346" s="6">
        <f t="shared" si="223"/>
        <v>0</v>
      </c>
      <c r="U346" s="4">
        <f t="shared" si="224"/>
        <v>0</v>
      </c>
      <c r="V346" s="116">
        <f>+S346*$M$3/'COST DATA'!$D$26</f>
        <v>0</v>
      </c>
      <c r="W346" s="117">
        <f t="shared" si="234"/>
        <v>0</v>
      </c>
      <c r="X346" s="118">
        <f t="shared" si="226"/>
        <v>0</v>
      </c>
      <c r="Y346" s="118">
        <f t="shared" si="227"/>
        <v>0</v>
      </c>
      <c r="Z346" s="119">
        <f t="shared" si="228"/>
        <v>0</v>
      </c>
      <c r="AA346" s="85">
        <f>+'Finished goods'!$O$3*'PRIVATE CUSTOMER (BtoC)'!T346</f>
        <v>0</v>
      </c>
      <c r="AB346" s="85">
        <f>+'Finished goods'!$P$27*R346</f>
        <v>0</v>
      </c>
      <c r="AC346" s="86">
        <f t="shared" si="229"/>
        <v>0</v>
      </c>
      <c r="AD346" s="93" t="e">
        <f t="shared" si="230"/>
        <v>#DIV/0!</v>
      </c>
      <c r="AE346" s="93">
        <f>+'REVENUE DATA'!$D$27</f>
        <v>0</v>
      </c>
      <c r="AF346" s="90" t="e">
        <f t="shared" si="231"/>
        <v>#DIV/0!</v>
      </c>
      <c r="AG346" s="91" t="e">
        <f t="shared" si="232"/>
        <v>#DIV/0!</v>
      </c>
      <c r="AH346" s="92">
        <f t="shared" si="233"/>
        <v>0</v>
      </c>
    </row>
  </sheetData>
  <autoFilter ref="B4:AI4" xr:uid="{F8EB2041-2DDC-4867-95FC-3E103F40250B}"/>
  <mergeCells count="84">
    <mergeCell ref="F322:G322"/>
    <mergeCell ref="AF322:AG322"/>
    <mergeCell ref="A324:A346"/>
    <mergeCell ref="F293:G293"/>
    <mergeCell ref="AF293:AG293"/>
    <mergeCell ref="A295:A317"/>
    <mergeCell ref="D320:Q320"/>
    <mergeCell ref="D321:J321"/>
    <mergeCell ref="M321:Q321"/>
    <mergeCell ref="V321:AC321"/>
    <mergeCell ref="F264:G264"/>
    <mergeCell ref="AF264:AG264"/>
    <mergeCell ref="A266:A288"/>
    <mergeCell ref="D291:Q291"/>
    <mergeCell ref="D292:J292"/>
    <mergeCell ref="M292:Q292"/>
    <mergeCell ref="V292:AC292"/>
    <mergeCell ref="F235:G235"/>
    <mergeCell ref="AF235:AG235"/>
    <mergeCell ref="A237:A259"/>
    <mergeCell ref="D262:Q262"/>
    <mergeCell ref="D263:J263"/>
    <mergeCell ref="M263:Q263"/>
    <mergeCell ref="V263:AC263"/>
    <mergeCell ref="F206:G206"/>
    <mergeCell ref="AF206:AG206"/>
    <mergeCell ref="A208:A230"/>
    <mergeCell ref="D233:Q233"/>
    <mergeCell ref="D234:J234"/>
    <mergeCell ref="M234:Q234"/>
    <mergeCell ref="V234:AC234"/>
    <mergeCell ref="F177:G177"/>
    <mergeCell ref="AF177:AG177"/>
    <mergeCell ref="A179:A201"/>
    <mergeCell ref="D204:Q204"/>
    <mergeCell ref="D205:J205"/>
    <mergeCell ref="M205:Q205"/>
    <mergeCell ref="V205:AC205"/>
    <mergeCell ref="F148:G148"/>
    <mergeCell ref="AF148:AG148"/>
    <mergeCell ref="A150:A172"/>
    <mergeCell ref="D175:Q175"/>
    <mergeCell ref="D176:J176"/>
    <mergeCell ref="M176:Q176"/>
    <mergeCell ref="V176:AC176"/>
    <mergeCell ref="F119:G119"/>
    <mergeCell ref="AF119:AG119"/>
    <mergeCell ref="A121:A143"/>
    <mergeCell ref="D146:Q146"/>
    <mergeCell ref="D147:J147"/>
    <mergeCell ref="M147:Q147"/>
    <mergeCell ref="V147:AC147"/>
    <mergeCell ref="F90:G90"/>
    <mergeCell ref="AF90:AG90"/>
    <mergeCell ref="A92:A114"/>
    <mergeCell ref="D117:Q117"/>
    <mergeCell ref="D118:J118"/>
    <mergeCell ref="M118:Q118"/>
    <mergeCell ref="V118:AC118"/>
    <mergeCell ref="F61:G61"/>
    <mergeCell ref="AF61:AG61"/>
    <mergeCell ref="A63:A85"/>
    <mergeCell ref="D88:Q88"/>
    <mergeCell ref="D89:J89"/>
    <mergeCell ref="M89:Q89"/>
    <mergeCell ref="V89:AC89"/>
    <mergeCell ref="F32:G32"/>
    <mergeCell ref="AF32:AG32"/>
    <mergeCell ref="A34:A56"/>
    <mergeCell ref="D59:Q59"/>
    <mergeCell ref="D60:J60"/>
    <mergeCell ref="M60:Q60"/>
    <mergeCell ref="V60:AC60"/>
    <mergeCell ref="A5:A27"/>
    <mergeCell ref="D30:Q30"/>
    <mergeCell ref="D31:J31"/>
    <mergeCell ref="M31:Q31"/>
    <mergeCell ref="V31:AC31"/>
    <mergeCell ref="F3:G3"/>
    <mergeCell ref="AF3:AG3"/>
    <mergeCell ref="D1:Q1"/>
    <mergeCell ref="D2:J2"/>
    <mergeCell ref="M2:Q2"/>
    <mergeCell ref="V2:AC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Finished goods</vt:lpstr>
      <vt:lpstr>Ammortamenti</vt:lpstr>
      <vt:lpstr>COST DATA</vt:lpstr>
      <vt:lpstr>REVENUE DATA</vt:lpstr>
      <vt:lpstr>BUSINESS TO BUSINESS</vt:lpstr>
      <vt:lpstr>Project Ostelliere</vt:lpstr>
      <vt:lpstr>Project Orto</vt:lpstr>
      <vt:lpstr>Project La Gallina</vt:lpstr>
      <vt:lpstr>PRIVATE CUSTOMER (BtoC)</vt:lpstr>
      <vt:lpstr>INCOME STATEMENT</vt:lpstr>
      <vt:lpstr>NPV</vt:lpstr>
      <vt:lpstr>'INCOME STATEMENT'!Area_stampa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Simoni  Alessandro</dc:creator>
  <cp:lastModifiedBy>Simoni  Alessandro</cp:lastModifiedBy>
  <cp:lastPrinted>2024-07-04T13:41:27Z</cp:lastPrinted>
  <dcterms:created xsi:type="dcterms:W3CDTF">2024-05-29T10:00:43Z</dcterms:created>
  <dcterms:modified xsi:type="dcterms:W3CDTF">2024-07-04T13:41:39Z</dcterms:modified>
</cp:coreProperties>
</file>